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<sst xmlns="http://schemas.openxmlformats.org/spreadsheetml/2006/main" count="3243" uniqueCount="2062">
  <si>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</si>
  <si>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</si>
  <si>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</si>
  <si>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</si>
  <si>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</si>
  <si>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</si>
  <si>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</si>
  <si>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</si>
  <si>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</si>
  <si>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</si>
  <si>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</si>
  <si>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</si>
  <si>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</si>
  <si>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</si>
  <si>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</si>
  <si>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</si>
  <si>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</si>
  <si>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</si>
  <si>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</si>
  <si>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</si>
  <si>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</si>
  <si>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</si>
  <si>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</si>
  <si>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</si>
  <si>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</si>
  <si>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</si>
  <si>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</si>
  <si>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</si>
  <si>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</si>
  <si>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</si>
  <si>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</si>
  <si>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</si>
  <si>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</si>
  <si>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</si>
  <si>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</si>
  <si>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</si>
  <si>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</si>
  <si>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</si>
  <si>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</si>
  <si>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</si>
  <si>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</si>
  <si>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</si>
  <si>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</si>
  <si>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</si>
  <si>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</si>
  <si>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</si>
  <si>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</si>
  <si>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</si>
  <si>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</si>
  <si>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</si>
  <si>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</si>
  <si>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</si>
  <si>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</si>
  <si>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</si>
  <si>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</si>
  <si>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</si>
  <si>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</si>
  <si>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</si>
  <si>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</si>
  <si>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</si>
  <si>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</si>
  <si>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</si>
  <si>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</si>
  <si>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</si>
  <si>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</si>
  <si>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</si>
  <si>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</si>
  <si>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</si>
  <si>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</si>
  <si>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</si>
  <si>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</si>
  <si>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</si>
  <si>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</si>
  <si>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</si>
  <si>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</si>
  <si>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</si>
  <si>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</si>
  <si>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</si>
  <si>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</si>
  <si>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</si>
  <si>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</si>
  <si>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</si>
  <si>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</si>
  <si>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</si>
  <si>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</si>
  <si>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</si>
  <si>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</si>
  <si>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</si>
  <si>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</si>
  <si>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</si>
  <si>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</si>
  <si>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</si>
  <si>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</si>
  <si>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</si>
  <si>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</si>
  <si>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</si>
  <si>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</si>
  <si>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</si>
  <si>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</si>
  <si>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</si>
  <si>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</si>
  <si>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</si>
  <si>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</si>
  <si>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</si>
  <si>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</si>
  <si>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</si>
  <si>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</si>
  <si>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</si>
  <si>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</si>
  <si>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</si>
  <si>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</si>
  <si>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</si>
  <si>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</si>
  <si>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</si>
  <si>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</si>
  <si>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</si>
  <si>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</si>
  <si>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</si>
  <si>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</si>
  <si>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</si>
  <si>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</si>
  <si>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</si>
  <si>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</si>
  <si>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</si>
  <si>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</si>
  <si>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</si>
  <si>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</si>
  <si>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</si>
  <si>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</si>
  <si>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</si>
  <si>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</si>
  <si>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</si>
  <si>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</si>
  <si>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</si>
  <si>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</si>
  <si>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</si>
  <si>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</si>
  <si>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</si>
  <si>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</si>
  <si>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</si>
  <si>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</si>
  <si>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</si>
  <si>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</si>
  <si>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</si>
  <si>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</si>
  <si>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</si>
  <si>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</si>
  <si>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</si>
  <si>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</si>
  <si>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</si>
  <si>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</si>
  <si>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</si>
  <si>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</si>
  <si>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</si>
  <si>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</si>
  <si>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</si>
  <si>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</si>
  <si>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</si>
  <si>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</si>
  <si>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</si>
  <si>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</si>
  <si>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</si>
  <si>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</si>
  <si>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</si>
  <si>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</si>
  <si>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</si>
  <si>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</si>
  <si>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</si>
  <si>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</si>
  <si>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</si>
  <si>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</si>
  <si>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</si>
  <si>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</si>
  <si>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</si>
  <si>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</si>
  <si>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</si>
  <si>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</si>
  <si>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</si>
  <si>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</si>
  <si>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</si>
  <si>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</si>
  <si>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</si>
  <si>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</si>
  <si>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</si>
  <si>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</si>
  <si>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</si>
  <si>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</si>
  <si>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</si>
  <si>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</si>
  <si>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</si>
  <si>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</si>
  <si>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</si>
  <si>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</si>
  <si>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</si>
  <si>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</si>
  <si>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</si>
  <si>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</si>
  <si>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</si>
  <si>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</si>
  <si>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</si>
  <si>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</si>
  <si>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</si>
  <si>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</si>
  <si>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</si>
  <si>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</si>
  <si>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</si>
  <si>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</si>
  <si>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</si>
  <si>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</si>
  <si>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</si>
  <si>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</si>
  <si>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</si>
  <si>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</si>
  <si>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</si>
  <si>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</si>
  <si>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</si>
  <si>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</si>
  <si>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</si>
  <si>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</si>
  <si>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</si>
  <si>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</si>
  <si>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</si>
  <si>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</si>
  <si>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</si>
  <si>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</si>
  <si>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</si>
  <si>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</si>
  <si>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</si>
  <si>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</si>
  <si>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</si>
  <si>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</si>
  <si>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</si>
  <si>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</si>
  <si>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</si>
  <si>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</si>
  <si>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</si>
  <si>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</si>
  <si>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</si>
  <si>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</si>
  <si>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</si>
  <si>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</si>
  <si>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</si>
  <si>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</si>
  <si>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</si>
  <si>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</si>
  <si>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</si>
  <si>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</si>
  <si>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</si>
  <si>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</si>
  <si>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</si>
  <si>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</si>
  <si>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</si>
  <si>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</si>
  <si>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</si>
  <si>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</si>
  <si>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</si>
  <si>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</si>
  <si>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</si>
  <si>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</si>
  <si>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</si>
  <si>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</si>
  <si>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</si>
  <si>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</si>
  <si>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</si>
  <si>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</si>
  <si>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</si>
  <si>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</si>
  <si>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</si>
  <si>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</si>
  <si>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</si>
  <si>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</si>
  <si>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</si>
  <si>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</si>
  <si>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</si>
  <si>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</si>
  <si>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</si>
  <si>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</si>
  <si>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</si>
  <si>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</si>
  <si>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</si>
  <si>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</si>
  <si>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</si>
  <si>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</si>
  <si>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</si>
  <si>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</si>
  <si>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</si>
  <si>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</si>
  <si>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</si>
  <si>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</si>
  <si>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</si>
  <si>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</si>
  <si>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</si>
  <si>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</si>
  <si>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</si>
  <si>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</si>
  <si>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</si>
  <si>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</si>
  <si>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</si>
  <si>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</si>
  <si>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</si>
  <si>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</si>
  <si>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</si>
  <si>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</si>
  <si>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</si>
  <si>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</si>
  <si>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</si>
  <si>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</si>
  <si>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</si>
  <si>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</si>
  <si>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</si>
  <si>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</si>
  <si>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</si>
  <si>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</si>
  <si>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</si>
  <si>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</si>
  <si>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</si>
  <si>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</si>
  <si>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</si>
  <si>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</si>
  <si>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</si>
  <si>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</si>
  <si>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</si>
  <si>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</si>
  <si>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</si>
  <si>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</si>
  <si>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</si>
  <si>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</si>
  <si>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</si>
  <si>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</si>
  <si>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</si>
  <si>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</si>
  <si>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</si>
  <si>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</si>
  <si>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</si>
  <si>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</si>
  <si>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</si>
  <si>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</si>
  <si>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</si>
  <si>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</si>
  <si>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</si>
  <si>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</si>
  <si>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</si>
  <si>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</si>
  <si>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</si>
  <si>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</si>
  <si>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</si>
  <si>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</si>
  <si>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</si>
  <si>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</si>
  <si>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</si>
  <si>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</si>
  <si>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</si>
  <si>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</si>
  <si>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</si>
  <si>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</si>
  <si>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</si>
  <si>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</si>
  <si>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</si>
  <si>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</si>
  <si>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</si>
  <si>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</si>
  <si>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</si>
  <si>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</si>
  <si>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</si>
  <si>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</si>
  <si>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</si>
  <si>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</si>
  <si>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</si>
  <si>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</si>
  <si>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</si>
  <si>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</si>
  <si>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</si>
  <si>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</si>
  <si>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</si>
  <si>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</si>
  <si>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</si>
  <si>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</si>
  <si>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</si>
  <si>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</si>
  <si>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</si>
  <si>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</si>
  <si>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</si>
  <si>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</si>
  <si>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</si>
  <si>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</si>
  <si>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</si>
  <si>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</si>
  <si>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</si>
  <si>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</si>
  <si>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</si>
  <si>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</si>
  <si>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</si>
  <si>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</si>
  <si>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</si>
  <si>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</si>
  <si>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</si>
  <si>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</si>
  <si>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</si>
  <si>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</si>
  <si>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</si>
  <si>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</si>
  <si>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</si>
  <si>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</si>
  <si>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</si>
  <si>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</si>
  <si>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</si>
  <si>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</si>
  <si>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</si>
  <si>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</si>
  <si>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</si>
  <si>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</si>
  <si>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</si>
  <si>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</si>
  <si>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</si>
  <si>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</si>
  <si>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</si>
  <si>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</si>
  <si>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</si>
  <si>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</si>
  <si>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</si>
  <si>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</si>
  <si>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</si>
  <si>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</si>
  <si>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</si>
  <si>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</si>
  <si>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</si>
  <si>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</si>
  <si>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</si>
  <si>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</si>
  <si>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</si>
  <si>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</si>
  <si>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</si>
  <si>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</si>
  <si>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</si>
  <si>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</si>
  <si>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</si>
  <si>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</si>
  <si>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</si>
  <si>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</si>
  <si>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</si>
  <si>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</si>
  <si>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</si>
  <si>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</si>
  <si>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</si>
  <si>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</si>
  <si>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</si>
  <si>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</si>
  <si>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</si>
  <si>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</si>
  <si>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</si>
  <si>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</si>
  <si>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</si>
  <si>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</si>
  <si>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</si>
  <si>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</si>
  <si>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</si>
  <si>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</si>
  <si>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</si>
  <si>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</si>
  <si>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</si>
  <si>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</si>
  <si>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</si>
  <si>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</si>
  <si>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</si>
  <si>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</si>
  <si>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</si>
  <si>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</si>
  <si>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</si>
  <si>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</si>
  <si>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</si>
  <si>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</si>
  <si>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</si>
  <si>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</si>
  <si>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</si>
  <si>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</si>
  <si>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</si>
  <si>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</si>
  <si>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</si>
  <si>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</si>
  <si>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</si>
  <si>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</si>
  <si>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</si>
  <si>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</si>
  <si>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</si>
  <si>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</si>
  <si>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</si>
  <si>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</si>
  <si>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</si>
  <si>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</si>
  <si>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</si>
  <si>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</si>
  <si>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</si>
  <si>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</si>
  <si>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</si>
  <si>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</si>
  <si>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</si>
  <si>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</si>
  <si>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</si>
  <si>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</si>
  <si>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</si>
  <si>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</si>
  <si>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</si>
  <si>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</si>
  <si>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</si>
  <si>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</si>
  <si>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</si>
  <si>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</si>
  <si>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</si>
  <si>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</si>
  <si>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</si>
  <si>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</si>
  <si>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</si>
  <si>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</si>
  <si>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</si>
  <si>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</si>
  <si>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</si>
  <si>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</si>
  <si>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</si>
  <si>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</si>
  <si>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</si>
  <si>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</si>
  <si>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</si>
  <si>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</si>
  <si>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</si>
  <si>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</si>
  <si>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</si>
  <si>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</si>
  <si>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</si>
  <si>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</si>
  <si>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</si>
  <si>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</si>
  <si>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</si>
  <si>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</si>
  <si>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</si>
  <si>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</si>
  <si>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</si>
  <si>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</si>
  <si>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</si>
  <si>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</si>
  <si>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</si>
  <si>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</si>
  <si>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</si>
  <si>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</si>
  <si>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</si>
  <si>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</si>
  <si>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</si>
  <si>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</si>
  <si>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</si>
  <si>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</si>
  <si>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</si>
  <si>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</si>
  <si>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</si>
  <si>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</si>
  <si>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</si>
  <si>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</si>
  <si>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</si>
  <si>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</si>
  <si>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</si>
  <si>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</si>
  <si>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</si>
  <si>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</si>
  <si>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</si>
  <si>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</si>
  <si>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</si>
  <si>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</si>
  <si>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</si>
  <si>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</si>
  <si>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</si>
  <si>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</si>
  <si>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</si>
  <si>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</si>
  <si>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</si>
  <si>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</si>
  <si>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</si>
  <si>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</si>
  <si>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</si>
  <si>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</si>
  <si>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</si>
  <si>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</si>
  <si>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</si>
  <si>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</si>
  <si>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</si>
  <si>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</si>
  <si>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</si>
  <si>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</si>
  <si>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</si>
  <si>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</si>
  <si>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</si>
  <si>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</si>
  <si>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</si>
  <si>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</si>
  <si>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</si>
  <si>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</si>
  <si>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</si>
  <si>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</si>
  <si>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</si>
  <si>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</si>
  <si>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</si>
  <si>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</si>
  <si>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</si>
  <si>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</si>
  <si>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</si>
  <si>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</si>
  <si>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</si>
  <si>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</si>
  <si>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</si>
  <si>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</si>
  <si>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</si>
  <si>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</si>
  <si>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</si>
  <si>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</si>
  <si>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</si>
  <si>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</si>
  <si>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</si>
  <si>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</si>
  <si>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</si>
  <si>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</si>
  <si>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</si>
  <si>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</si>
  <si>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</si>
  <si>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</si>
  <si>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</si>
  <si>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</si>
  <si>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</si>
  <si>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</si>
  <si>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</si>
  <si>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</si>
  <si>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</si>
  <si>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</si>
  <si>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</si>
  <si>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</si>
  <si>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</si>
  <si>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</si>
  <si>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</si>
  <si>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</si>
  <si>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</si>
  <si>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</si>
  <si>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</si>
  <si>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</si>
  <si>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</si>
  <si>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</si>
  <si>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</si>
  <si>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</si>
  <si>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</si>
  <si>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</si>
  <si>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</si>
  <si>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</si>
  <si>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</si>
  <si>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</si>
  <si>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</si>
  <si>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</si>
  <si>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</si>
  <si>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</si>
  <si>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</si>
  <si>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</si>
  <si>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</si>
  <si>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</si>
  <si>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</si>
  <si>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</si>
  <si>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</si>
  <si>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</si>
  <si>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</si>
  <si>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</si>
  <si>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</si>
  <si>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</si>
  <si>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</si>
  <si>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</si>
  <si>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</si>
  <si>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</si>
  <si>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</si>
  <si>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</si>
  <si>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</si>
  <si>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</si>
  <si>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</si>
  <si>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</si>
  <si>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</si>
  <si>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</si>
  <si>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</si>
  <si>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</si>
  <si>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</si>
  <si>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</si>
  <si>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</si>
  <si>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</si>
  <si>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</si>
  <si>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</si>
  <si>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</si>
  <si>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</si>
  <si>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</si>
  <si>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</si>
  <si>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</si>
  <si>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</si>
  <si>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</si>
  <si>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</si>
  <si>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</si>
  <si>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</si>
  <si>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</si>
  <si>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</si>
  <si>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</si>
  <si>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</si>
  <si>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</si>
  <si>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</si>
  <si>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</si>
  <si>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</si>
  <si>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</si>
  <si>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</si>
  <si>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</si>
  <si>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</si>
  <si>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</si>
  <si>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</si>
  <si>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</si>
  <si>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</si>
  <si>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</si>
  <si>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</si>
  <si>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</si>
  <si>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</si>
  <si>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</si>
  <si>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</si>
  <si>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</si>
  <si>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</si>
  <si>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</si>
  <si>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</si>
  <si>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</si>
  <si>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</si>
  <si>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</si>
  <si>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</si>
  <si>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</si>
  <si>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</si>
  <si>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</si>
  <si>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</si>
  <si>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</si>
  <si>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</si>
  <si>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</si>
  <si>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</si>
  <si>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</si>
  <si>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</si>
  <si>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</si>
  <si>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</si>
  <si>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</si>
  <si>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</si>
  <si>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</si>
  <si>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</si>
  <si>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</si>
  <si>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</si>
  <si>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</si>
  <si>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</si>
  <si>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</si>
  <si>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</si>
  <si>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</si>
  <si>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</si>
  <si>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</si>
  <si>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</si>
  <si>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</si>
  <si>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</si>
  <si>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</si>
  <si>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</si>
  <si>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</si>
  <si>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</si>
  <si>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</si>
  <si>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</si>
  <si>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</si>
  <si>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</si>
  <si>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</si>
  <si>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</si>
  <si>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</si>
  <si>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</si>
  <si>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</si>
  <si>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</si>
  <si>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</si>
  <si>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</si>
  <si>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</si>
  <si>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</si>
  <si>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</si>
  <si>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</si>
  <si>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</si>
  <si>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</si>
  <si>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</si>
  <si>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</si>
  <si>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</si>
  <si>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</si>
  <si>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</si>
  <si>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</si>
  <si>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</si>
  <si>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</si>
  <si>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</si>
  <si>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</si>
  <si>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</si>
  <si>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</si>
  <si>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</si>
  <si>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</si>
  <si>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</si>
  <si>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</si>
  <si>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</si>
  <si>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</si>
  <si>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</si>
  <si>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</si>
  <si>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</si>
  <si>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</si>
  <si>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</si>
  <si>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</si>
  <si>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</si>
  <si>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</si>
  <si>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</si>
  <si>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</si>
  <si>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</si>
  <si>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</si>
  <si>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</si>
  <si>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</si>
  <si>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</si>
  <si>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</si>
  <si>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</si>
  <si>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</si>
  <si>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</si>
  <si>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</si>
  <si>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</si>
  <si>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</si>
  <si>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</si>
  <si>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</si>
  <si>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</si>
  <si>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</si>
  <si>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</si>
  <si>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</si>
  <si>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</si>
  <si>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</si>
  <si>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</si>
  <si>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</si>
  <si>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</si>
  <si>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</si>
  <si>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</si>
  <si>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</si>
  <si>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</si>
  <si>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</si>
  <si>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</si>
  <si>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</si>
  <si>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</si>
  <si>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</si>
  <si>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</si>
  <si>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</si>
  <si>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</si>
  <si>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</si>
  <si>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</si>
  <si>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</si>
  <si>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</si>
  <si>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</si>
  <si>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</si>
  <si>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</si>
  <si>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</si>
  <si>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</si>
  <si>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</si>
  <si>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</si>
  <si>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</si>
  <si>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</si>
  <si>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</si>
  <si>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</si>
  <si>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</si>
  <si>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</si>
  <si>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</si>
  <si>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</si>
  <si>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</si>
  <si>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</si>
  <si>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</si>
  <si>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</si>
  <si>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</si>
  <si>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</si>
  <si>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</si>
  <si>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</si>
  <si>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</si>
  <si>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</si>
  <si>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</si>
  <si>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</si>
  <si>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</si>
  <si>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</si>
  <si>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</si>
  <si>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</si>
  <si>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</si>
  <si>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</si>
  <si>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</si>
  <si>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</si>
  <si>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</si>
  <si>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</si>
  <si>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</si>
  <si>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</si>
  <si>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</si>
  <si>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</si>
  <si>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</si>
  <si>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</si>
  <si>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</si>
  <si>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</si>
  <si>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</si>
  <si>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</si>
  <si>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</si>
  <si>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</si>
  <si>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</si>
  <si>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</si>
  <si>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</si>
  <si>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</si>
  <si>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</si>
  <si>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</si>
  <si>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</si>
  <si>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</si>
  <si>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</si>
  <si>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</si>
  <si>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</si>
  <si>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</si>
  <si>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</si>
  <si>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</si>
  <si>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</si>
  <si>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</si>
  <si>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</si>
  <si>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</si>
  <si>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</si>
  <si>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</si>
  <si>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</si>
  <si>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</si>
  <si>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</si>
  <si>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</si>
  <si>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</si>
  <si>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</si>
  <si>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</si>
  <si>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</si>
  <si>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</si>
  <si>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</si>
  <si>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</si>
  <si>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</si>
  <si>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</si>
  <si>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</si>
  <si>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</si>
  <si>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</si>
  <si>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</si>
  <si>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</si>
  <si>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</si>
  <si>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</si>
  <si>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</si>
  <si>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</si>
  <si>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</si>
  <si>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</si>
  <si>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</si>
  <si>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</si>
  <si>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</si>
  <si>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</si>
  <si>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</si>
  <si>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</si>
  <si>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</si>
  <si>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</si>
  <si>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</si>
  <si>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</si>
  <si>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</si>
  <si>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</si>
  <si>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</si>
  <si>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</si>
  <si>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</si>
  <si>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</si>
  <si>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</si>
  <si>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</si>
  <si>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</si>
  <si>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</si>
  <si>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</si>
  <si>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</si>
  <si>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</si>
  <si>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</si>
  <si>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</si>
  <si>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</si>
  <si>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</si>
  <si>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</si>
  <si>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</si>
  <si>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</si>
  <si>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</si>
  <si>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</si>
  <si>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</si>
  <si>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</si>
  <si>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</si>
  <si>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</si>
  <si>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</si>
  <si>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</si>
  <si>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</si>
  <si>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</si>
  <si>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</si>
  <si>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</si>
  <si>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</si>
  <si>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</si>
  <si>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</si>
  <si>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</si>
  <si>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</si>
  <si>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</si>
  <si>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</si>
  <si>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</si>
  <si>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</si>
  <si>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</si>
  <si>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</si>
  <si>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</si>
  <si>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</si>
  <si>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</si>
  <si>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</si>
  <si>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</si>
  <si>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</si>
  <si>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</si>
  <si>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</si>
  <si>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</si>
  <si>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</si>
  <si>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</si>
  <si>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</si>
  <si>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</si>
  <si>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</si>
  <si>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</si>
  <si>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</si>
  <si>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</si>
  <si>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</si>
  <si>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</si>
  <si>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</si>
  <si>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</si>
  <si>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</si>
  <si>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</si>
  <si>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</si>
  <si>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</si>
  <si>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</si>
  <si>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</si>
  <si>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</si>
  <si>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</si>
  <si>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</si>
  <si>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</si>
  <si>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</si>
  <si>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</si>
  <si>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</si>
  <si>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</si>
  <si>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</si>
  <si>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</si>
  <si>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</si>
  <si>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</si>
  <si>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</si>
  <si>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</si>
  <si>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</si>
  <si>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</si>
  <si>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</si>
  <si>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</si>
  <si>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</si>
  <si>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</si>
  <si>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</si>
  <si>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</si>
  <si>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</si>
  <si>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</si>
  <si>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</si>
  <si>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</si>
  <si>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</si>
  <si>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</si>
  <si>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</si>
  <si>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</si>
  <si>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</si>
  <si>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</si>
  <si>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</si>
  <si>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</si>
  <si>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</si>
  <si>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</si>
  <si>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</si>
  <si>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</si>
  <si>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</si>
  <si>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</si>
  <si>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</si>
  <si>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</si>
  <si>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</si>
  <si>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</si>
  <si>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</si>
  <si>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</si>
  <si>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</si>
  <si>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</si>
  <si>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</si>
  <si>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</si>
  <si>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</si>
  <si>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</si>
  <si>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</si>
  <si>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</si>
  <si>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</si>
  <si>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</si>
  <si>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</si>
  <si>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</si>
  <si>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</si>
  <si>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</si>
  <si>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</si>
  <si>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</si>
  <si>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</si>
  <si>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</si>
  <si>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</si>
  <si>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</si>
  <si>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</si>
  <si>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</si>
  <si>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</si>
  <si>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</si>
  <si>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</si>
  <si>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</si>
  <si>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</si>
  <si>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</si>
  <si>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</si>
  <si>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</si>
  <si>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</si>
  <si>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</si>
  <si>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</si>
  <si>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</si>
  <si>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</si>
  <si>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</si>
  <si>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</si>
  <si>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</si>
  <si>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</si>
  <si>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</si>
  <si>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</si>
  <si>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</si>
  <si>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</si>
  <si>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</si>
  <si>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</si>
  <si>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</si>
  <si>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</si>
  <si>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</si>
  <si>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</si>
  <si>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</si>
  <si>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</si>
  <si>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</si>
  <si>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</si>
  <si>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</si>
  <si>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</si>
  <si>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</si>
  <si>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</si>
  <si>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</si>
  <si>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</si>
  <si>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</si>
  <si>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</si>
  <si>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</si>
  <si>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</si>
  <si>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</si>
  <si>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</si>
  <si>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</si>
  <si>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</si>
  <si>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</si>
  <si>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</si>
  <si>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</si>
  <si>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</si>
  <si>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</si>
  <si>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</si>
  <si>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</si>
  <si>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</si>
  <si>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</si>
  <si>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</si>
  <si>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</si>
  <si>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</si>
  <si>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</si>
  <si>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</si>
  <si>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</si>
  <si>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</si>
  <si>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</si>
  <si>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</si>
  <si>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</si>
  <si>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</si>
  <si>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</si>
  <si>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</si>
  <si>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</si>
  <si>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</si>
  <si>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</si>
  <si>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</si>
  <si>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</si>
  <si>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</si>
  <si>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</si>
  <si>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</si>
  <si>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</si>
  <si>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</si>
  <si>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</si>
  <si>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</si>
  <si>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</si>
  <si>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</si>
  <si>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</si>
  <si>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</si>
  <si>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</si>
  <si>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</si>
  <si>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</si>
  <si>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</si>
  <si>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</si>
  <si>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</si>
  <si>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</si>
  <si>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</si>
  <si>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</si>
  <si>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</si>
  <si>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</si>
  <si>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</si>
  <si>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</si>
  <si>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</si>
  <si>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</si>
  <si>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</si>
  <si>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</si>
  <si>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</si>
  <si>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</si>
  <si>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</si>
  <si>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</si>
  <si>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</si>
  <si>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</si>
  <si>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</si>
  <si>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</si>
  <si>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</si>
  <si>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</si>
  <si>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</si>
  <si>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</si>
  <si>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</si>
  <si>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</si>
  <si>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</si>
  <si>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</si>
  <si>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</si>
  <si>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</si>
  <si>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</si>
  <si>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</si>
  <si>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</si>
  <si>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</si>
  <si>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</si>
  <si>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</si>
  <si>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</si>
  <si>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</si>
  <si>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</si>
  <si>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</si>
  <si>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</si>
  <si>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</si>
  <si>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</si>
  <si>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</si>
  <si>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</si>
  <si>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</si>
  <si>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</si>
  <si>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</si>
  <si>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</si>
  <si>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</si>
  <si>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</si>
  <si>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</si>
  <si>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</si>
  <si>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</si>
  <si>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</si>
  <si>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</si>
  <si>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</si>
  <si>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</si>
  <si>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</si>
  <si>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</si>
  <si>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</si>
  <si>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</si>
  <si>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</si>
  <si>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</si>
  <si>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</si>
  <si>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</si>
  <si>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</si>
  <si>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</si>
  <si>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</si>
  <si>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</si>
  <si>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</si>
  <si>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</si>
  <si>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</si>
  <si>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</si>
  <si>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</si>
  <si>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</si>
  <si>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</si>
  <si>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</si>
  <si>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</si>
  <si>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</si>
  <si>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</si>
  <si>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</si>
  <si>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</si>
  <si>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</si>
  <si>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</si>
  <si>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</si>
  <si>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</si>
  <si>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</si>
  <si>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</si>
  <si>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</si>
  <si>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</si>
  <si>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</si>
  <si>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</si>
  <si>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</si>
  <si>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</si>
  <si>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</si>
  <si>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</si>
  <si>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</si>
  <si>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</si>
  <si>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</si>
  <si>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</si>
  <si>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</si>
  <si>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</si>
  <si>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</si>
  <si>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</si>
  <si>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</si>
  <si>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</si>
  <si>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</si>
  <si>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</si>
  <si>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</si>
  <si>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</si>
  <si>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</si>
  <si>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</si>
  <si>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</si>
  <si>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</si>
  <si>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</si>
  <si>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</si>
  <si>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</si>
  <si>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</si>
  <si>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</si>
  <si>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</si>
  <si>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</si>
  <si>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</si>
  <si>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</si>
  <si>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</si>
  <si>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</si>
  <si>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</si>
  <si>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</si>
  <si>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</si>
  <si>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</si>
  <si>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</si>
  <si>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</si>
  <si>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</si>
  <si>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</si>
  <si>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</si>
  <si>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</si>
  <si>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</si>
  <si>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</si>
  <si>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</si>
  <si>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</si>
  <si>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</si>
  <si>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</si>
  <si>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</si>
  <si>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</si>
  <si>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</si>
  <si>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</si>
  <si>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</si>
  <si>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</si>
  <si>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</si>
  <si>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</si>
  <si>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</si>
  <si>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</si>
  <si>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</si>
  <si>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</si>
  <si>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</si>
  <si>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</si>
  <si>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</si>
  <si>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</si>
  <si>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</si>
  <si>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</si>
  <si>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</si>
  <si>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</si>
  <si>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</si>
  <si>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</si>
  <si>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</si>
  <si>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</si>
  <si>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</si>
  <si>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</si>
  <si>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</si>
  <si>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</si>
  <si>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</si>
  <si>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</si>
  <si>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</si>
  <si>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</si>
  <si>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</si>
  <si>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</si>
  <si>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</si>
  <si>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</si>
  <si>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</si>
  <si>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</si>
  <si>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</si>
  <si>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</si>
  <si>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</si>
  <si>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</si>
  <si>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</si>
  <si>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</si>
  <si>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</si>
  <si>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</si>
  <si>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</si>
  <si>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</si>
  <si>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</si>
  <si>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</si>
  <si>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</si>
  <si>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</si>
  <si>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</si>
  <si>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</si>
  <si>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</si>
  <si>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</si>
  <si>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</si>
  <si>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</si>
  <si>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</si>
  <si>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</si>
  <si>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</si>
  <si>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</si>
  <si>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</si>
  <si>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</si>
  <si>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</si>
  <si>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</si>
  <si>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</si>
  <si>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</si>
  <si>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</si>
  <si>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</si>
  <si>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</si>
  <si>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</si>
  <si>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</si>
  <si>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</si>
  <si>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</si>
  <si>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</si>
  <si>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</si>
  <si>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</si>
  <si>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</si>
  <si>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</si>
  <si>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</si>
  <si>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</si>
  <si>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</si>
  <si>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</si>
  <si>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</si>
  <si>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</si>
  <si>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</si>
  <si>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</si>
  <si>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</si>
  <si>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</si>
  <si>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</si>
  <si>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</si>
  <si>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</si>
  <si>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</si>
  <si>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</si>
  <si>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</si>
  <si>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</si>
  <si>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</si>
  <si>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</si>
  <si>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</si>
  <si>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</si>
  <si>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</si>
  <si>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</si>
  <si>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</si>
  <si>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</si>
  <si>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</si>
  <si>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</si>
  <si>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</si>
  <si>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</si>
  <si>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</si>
  <si>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</si>
  <si>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</si>
  <si>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</si>
  <si>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</si>
  <si>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</si>
  <si>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</si>
  <si>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</si>
  <si>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</si>
  <si>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</si>
  <si>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</si>
  <si>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</si>
  <si>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</si>
  <si>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</si>
  <si>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</si>
  <si>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</si>
  <si>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</si>
  <si>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</si>
  <si>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</si>
  <si>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</si>
  <si>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</si>
  <si>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</si>
  <si>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</si>
  <si>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</si>
  <si>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</si>
  <si>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</si>
  <si>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</si>
  <si>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</si>
  <si>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</si>
  <si>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</si>
  <si>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</si>
  <si>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</si>
  <si>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</si>
  <si>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</si>
  <si>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</si>
  <si>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</si>
  <si>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</si>
  <si>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</si>
  <si>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</si>
  <si>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</si>
  <si>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</si>
  <si>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</si>
  <si>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</si>
  <si>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</si>
  <si>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</si>
  <si>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</si>
  <si>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</si>
  <si>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</si>
  <si>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</si>
  <si>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</si>
  <si>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</si>
  <si>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</si>
  <si>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</si>
  <si>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</si>
  <si>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</si>
  <si>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</si>
  <si>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</si>
  <si>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</si>
  <si>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</si>
  <si>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</si>
  <si>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</si>
  <si>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</si>
  <si>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</si>
  <si>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</si>
  <si>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</si>
  <si>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</si>
  <si>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</si>
  <si>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</si>
  <si>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</si>
  <si>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</si>
  <si>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</si>
  <si>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</si>
  <si>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</si>
  <si>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</si>
  <si>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</si>
  <si>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</si>
  <si>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</si>
  <si>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</si>
  <si>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</si>
  <si>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</si>
  <si>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</si>
  <si>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</si>
  <si>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</si>
  <si>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</si>
  <si>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</si>
  <si>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</si>
  <si>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</si>
  <si>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</si>
  <si>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</si>
  <si>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</si>
  <si>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</si>
  <si>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</si>
  <si>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</si>
  <si>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</si>
  <si>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</si>
  <si>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</si>
  <si>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</si>
  <si>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</si>
  <si>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</si>
  <si>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</si>
  <si>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</si>
  <si>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</si>
  <si>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</si>
  <si>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</si>
  <si>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</si>
  <si>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</si>
  <si>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</si>
  <si>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</si>
  <si>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</si>
  <si>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</si>
  <si>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</si>
  <si>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</si>
  <si>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</si>
  <si>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</si>
  <si>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</si>
  <si>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</si>
  <si>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</si>
  <si>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</si>
  <si>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</si>
  <si>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</si>
  <si>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</si>
  <si>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</si>
  <si>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</si>
  <si>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</si>
  <si>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</si>
  <si>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</si>
  <si>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</si>
  <si>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</si>
  <si>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</si>
  <si>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</si>
  <si>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</si>
  <si>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</si>
  <si>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</si>
  <si>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</si>
  <si>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</si>
  <si>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</si>
  <si>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</si>
  <si>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</si>
  <si>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</si>
  <si>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</si>
  <si>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</si>
  <si>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</si>
  <si>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</si>
  <si>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</si>
  <si>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</si>
  <si>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</si>
  <si>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</si>
  <si>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</si>
  <si>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</si>
  <si>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</si>
  <si>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</si>
  <si>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</si>
  <si>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</si>
  <si>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</si>
  <si>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</si>
  <si>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</si>
  <si>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</si>
  <si>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</si>
  <si>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</si>
  <si>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</si>
  <si>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</si>
  <si>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</si>
  <si>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</si>
  <si>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</si>
  <si>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</si>
  <si>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</si>
  <si>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</si>
  <si>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</si>
  <si>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</si>
  <si>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</si>
  <si>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</si>
  <si>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</si>
  <si>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</si>
  <si>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</si>
  <si>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</si>
  <si>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</si>
  <si>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</si>
  <si>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</si>
  <si>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</si>
  <si>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</si>
  <si>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</si>
  <si>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</si>
  <si>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</si>
  <si>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</si>
  <si>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</si>
  <si>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</si>
  <si>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</si>
  <si>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</si>
  <si>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</si>
  <si>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</si>
  <si>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</si>
  <si>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</si>
  <si>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</si>
  <si>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</si>
  <si>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</si>
  <si>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</si>
  <si>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</si>
  <si>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</si>
  <si>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</si>
  <si>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</si>
  <si>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</si>
  <si>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</si>
  <si>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</si>
  <si>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</si>
  <si>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</si>
  <si>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</si>
  <si>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</si>
  <si>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</si>
  <si>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</si>
  <si>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</si>
  <si>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</si>
  <si>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</si>
  <si>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</si>
  <si>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</si>
  <si>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</si>
  <si>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</si>
  <si>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</si>
  <si>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</si>
  <si>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</si>
  <si>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</si>
  <si>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</si>
  <si>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</si>
  <si>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</si>
  <si>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</si>
  <si>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</si>
  <si>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</si>
  <si>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</si>
  <si>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</si>
  <si>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</si>
  <si>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</si>
  <si>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</si>
  <si>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</si>
  <si>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</si>
  <si>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</si>
  <si>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</si>
  <si>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</si>
  <si>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</si>
  <si>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</si>
  <si>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</si>
  <si>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</si>
  <si>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</si>
  <si>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</si>
  <si>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</si>
  <si>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</si>
  <si>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</si>
  <si>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</si>
  <si>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</si>
  <si>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</si>
  <si>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</si>
  <si>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</si>
  <si>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</si>
  <si>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</si>
  <si>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</si>
  <si>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</si>
  <si>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</si>
  <si>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</si>
  <si>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</si>
  <si>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</si>
  <si>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</si>
  <si>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</si>
  <si>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</si>
  <si>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</si>
  <si>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</si>
  <si>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</si>
  <si>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</si>
  <si>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</si>
  <si>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</si>
  <si>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</si>
  <si>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</si>
  <si>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</si>
  <si>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</si>
  <si>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</si>
  <si>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</si>
  <si>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</si>
  <si>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</si>
  <si>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</si>
  <si>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</si>
  <si>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</si>
  <si>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</si>
  <si>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</si>
  <si>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</si>
  <si>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</si>
  <si>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</si>
  <si>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</si>
  <si>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</si>
  <si>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</si>
  <si>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</si>
  <si>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</si>
  <si>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</si>
  <si>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</si>
  <si>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</si>
  <si>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</si>
  <si>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</si>
  <si>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</si>
  <si>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</si>
  <si>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</si>
  <si>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</si>
  <si>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</si>
  <si>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</si>
  <si>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</si>
  <si>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</si>
  <si>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</si>
  <si>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</si>
  <si>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</si>
  <si>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</si>
  <si>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</si>
  <si>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</si>
  <si>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</si>
  <si>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</si>
  <si>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</si>
  <si>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</si>
  <si>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</si>
  <si>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</si>
  <si>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</si>
  <si>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</si>
  <si>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</si>
  <si>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</si>
  <si>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</si>
  <si>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</si>
  <si>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</si>
  <si>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</si>
  <si>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</si>
  <si>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</si>
  <si>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</si>
  <si>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</si>
  <si>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</si>
  <si>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</si>
  <si>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</si>
  <si>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</si>
  <si>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</si>
  <si>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</si>
  <si>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</si>
  <si>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</si>
  <si>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</si>
  <si>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</si>
  <si>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</si>
  <si>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</si>
  <si>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</si>
  <si>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</si>
  <si>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</si>
  <si>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</si>
  <si>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</si>
  <si>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</si>
  <si>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</si>
  <si>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</si>
  <si>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</si>
  <si>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</si>
  <si>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</si>
  <si>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</si>
  <si>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</si>
  <si>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</si>
  <si>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</si>
  <si>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</si>
  <si>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</si>
  <si>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</si>
  <si>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</si>
  <si>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</si>
  <si>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</si>
  <si>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</si>
  <si>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</si>
  <si>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</si>
  <si>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</si>
  <si>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</si>
  <si>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</si>
  <si>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</si>
  <si>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</si>
  <si>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</si>
  <si>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</si>
  <si>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</si>
  <si>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</si>
  <si>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</si>
  <si>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</si>
  <si>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</si>
  <si>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</si>
  <si>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</si>
  <si>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</si>
  <si>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</si>
  <si>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</si>
  <si>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</si>
  <si>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</si>
  <si>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</si>
  <si>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</si>
  <si>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</si>
  <si>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</si>
  <si>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</si>
  <si>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</si>
  <si>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</si>
  <si>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</si>
  <si>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</si>
  <si>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</si>
  <si>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</si>
  <si>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</si>
  <si>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</si>
  <si>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</si>
  <si>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</si>
  <si>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</si>
  <si>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</si>
  <si>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</si>
  <si>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</si>
  <si>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</si>
  <si>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</si>
  <si>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</si>
  <si>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</si>
  <si>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</si>
  <si>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</si>
  <si>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</si>
  <si>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</si>
  <si>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</si>
  <si>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</si>
  <si>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</si>
  <si>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</si>
  <si>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</si>
  <si>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</si>
  <si>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</si>
  <si>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</si>
  <si>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</si>
  <si>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</si>
  <si>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</si>
  <si>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</si>
  <si>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</si>
  <si>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</si>
  <si>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</si>
  <si>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</si>
  <si>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</si>
  <si>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</si>
  <si>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</si>
  <si>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</si>
  <si>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</si>
  <si>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</si>
  <si>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</si>
  <si>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</si>
  <si>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</si>
  <si>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</si>
  <si>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</si>
  <si>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</si>
  <si>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</si>
  <si>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</si>
  <si>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</si>
  <si>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</si>
  <si>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</si>
  <si>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</si>
  <si>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</si>
  <si>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</si>
  <si>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</si>
  <si>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</si>
  <si>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</si>
  <si>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</si>
  <si>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</si>
  <si>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</si>
  <si>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</si>
  <si>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</si>
  <si>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</si>
  <si>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</si>
  <si>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</si>
  <si>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</si>
  <si>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</si>
  <si>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</si>
  <si>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</si>
  <si>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</si>
  <si>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</si>
  <si>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</si>
  <si>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</si>
  <si>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</si>
  <si>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</si>
  <si>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</si>
  <si>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</si>
  <si>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</si>
  <si>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</si>
  <si>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</si>
  <si>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</si>
  <si>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</si>
  <si>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</si>
  <si>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</si>
  <si>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</si>
  <si>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</si>
  <si>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</si>
  <si>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</si>
  <si>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</si>
  <si>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</si>
  <si>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</si>
  <si>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</si>
  <si>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</si>
  <si>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</si>
  <si>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</si>
  <si>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</si>
  <si>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</si>
  <si>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</si>
  <si>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</si>
  <si>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</si>
  <si>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</si>
  <si>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</si>
  <si>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</si>
  <si>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</si>
  <si>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</si>
  <si>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</si>
  <si>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</si>
  <si>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</si>
  <si>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</si>
  <si>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</si>
  <si>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</si>
  <si>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</si>
  <si>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</si>
  <si>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</si>
  <si>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</si>
  <si>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</si>
  <si>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</si>
  <si>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</si>
  <si>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</si>
  <si>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</si>
  <si>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</si>
  <si>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</si>
  <si>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</si>
  <si>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</si>
  <si>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</si>
  <si>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</si>
  <si>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</si>
  <si>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</si>
  <si>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</si>
  <si>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</si>
  <si>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</si>
  <si>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</si>
  <si>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</si>
  <si>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</si>
  <si>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</si>
  <si>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</si>
  <si>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</si>
  <si>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</si>
  <si>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</si>
  <si>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</si>
  <si>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</si>
  <si>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</si>
  <si>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</si>
  <si>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</si>
  <si>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</si>
  <si>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</si>
  <si>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</si>
  <si>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</si>
  <si>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</si>
  <si>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</si>
  <si>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</si>
  <si>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</si>
  <si>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</si>
  <si>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</si>
  <si>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</si>
  <si>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</si>
  <si>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</si>
  <si>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</si>
  <si>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</si>
  <si>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</si>
  <si>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</si>
  <si>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</si>
  <si>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</si>
  <si>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</si>
  <si>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</si>
  <si>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</si>
  <si>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</si>
  <si>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</si>
  <si>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</si>
  <si>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</si>
  <si>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</si>
  <si>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</si>
  <si>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</si>
  <si>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</si>
  <si>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</si>
  <si>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</si>
  <si>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</si>
  <si>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</si>
  <si>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</si>
  <si>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</si>
  <si>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</si>
  <si>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</si>
  <si>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</si>
  <si>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</si>
  <si>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</si>
  <si>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</si>
  <si>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</si>
  <si>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</si>
  <si>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</si>
  <si>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</si>
  <si>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</si>
  <si>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</si>
  <si>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</si>
  <si>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</si>
  <si>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</si>
  <si>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</si>
  <si>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</si>
  <si>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</si>
  <si>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</si>
  <si>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</si>
  <si>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</si>
  <si>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</si>
  <si>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</si>
  <si>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</si>
  <si>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</si>
  <si>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</si>
  <si>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</si>
  <si>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</si>
  <si>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</si>
  <si>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</si>
  <si>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</si>
  <si>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</si>
  <si>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</si>
  <si>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</si>
  <si>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</si>
  <si>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</si>
  <si>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</si>
  <si>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</si>
  <si>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</si>
  <si>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</si>
  <si>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</si>
  <si>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</si>
  <si>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</si>
  <si>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</si>
  <si>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</si>
  <si>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</si>
  <si>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</si>
  <si>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</si>
  <si>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</si>
  <si>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</si>
  <si>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</si>
  <si>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</si>
  <si>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</si>
  <si>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</si>
  <si>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</si>
  <si>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</si>
  <si>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</si>
  <si>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</si>
  <si>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</si>
  <si>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</si>
  <si>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</si>
  <si>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</si>
  <si>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</si>
  <si>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</si>
  <si>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</si>
  <si>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</si>
  <si>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</si>
  <si>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</si>
  <si>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b1158</t>
  </si>
  <si>
    <t>d1036</t>
  </si>
  <si>
    <t>c1336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</si>
</sst>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4" xfId="34" applyNumberFormat="1" applyFont="1" applyFill="1" applyBorder="1" applyAlignment="1" applyProtection="1">
      <alignment horizontal="center" vertical="center"/>
      <protection/>
    </xf>
    <xf numFmtId="194" fontId="241" fillId="45" borderId="179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29" borderId="185" xfId="34" applyNumberFormat="1" applyFont="1" applyFill="1" applyBorder="1" applyAlignment="1" applyProtection="1">
      <alignment horizontal="center" vertical="center"/>
      <protection/>
    </xf>
    <xf numFmtId="194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2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7607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1019</v>
      </c>
      <c r="O6" s="1010"/>
      <c r="P6" s="1047">
        <f>OTCHET!F9</f>
        <v>43100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1249690</v>
      </c>
      <c r="J50" s="1104">
        <f>+IF(OR($P$2=98,$P$2=42,$P$2=96,$P$2=97),$Q50,0)</f>
        <v>713642</v>
      </c>
      <c r="K50" s="1097"/>
      <c r="L50" s="1104">
        <f>+IF($P$2=33,$Q50,0)</f>
        <v>0</v>
      </c>
      <c r="M50" s="1097"/>
      <c r="N50" s="1134">
        <f>+ROUND(+G50+J50+L50,0)</f>
        <v>713642</v>
      </c>
      <c r="O50" s="1099"/>
      <c r="P50" s="1103">
        <f>+ROUND(OTCHET!E204-SUM(OTCHET!E216:E218)+OTCHET!E271+IF(+OR(OTCHET!$F$12=5500,OTCHET!$F$12=5600),0,+OTCHET!E297),0)</f>
        <v>1249690</v>
      </c>
      <c r="Q50" s="1104">
        <f>+ROUND(OTCHET!L204-SUM(OTCHET!L216:L218)+OTCHET!L271+IF(+OR(OTCHET!$F$12=5500,OTCHET!$F$12=5600),0,+OTCHET!L297),0)</f>
        <v>713642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10</v>
      </c>
      <c r="J51" s="1122">
        <f>+IF(OR($P$2=98,$P$2=42,$P$2=96,$P$2=97),$Q51,0)</f>
        <v>10</v>
      </c>
      <c r="K51" s="1097"/>
      <c r="L51" s="1122">
        <f>+IF($P$2=33,$Q51,0)</f>
        <v>0</v>
      </c>
      <c r="M51" s="1097"/>
      <c r="N51" s="1123">
        <f>+ROUND(+G51+J51+L51,0)</f>
        <v>10</v>
      </c>
      <c r="O51" s="1099"/>
      <c r="P51" s="1121">
        <f>+ROUND(+SUM(OTCHET!E216:E218),0)</f>
        <v>10</v>
      </c>
      <c r="Q51" s="1122">
        <f>+ROUND(+SUM(OTCHET!L216:L218),0)</f>
        <v>10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340448</v>
      </c>
      <c r="J53" s="1122">
        <f>+IF(OR($P$2=98,$P$2=42,$P$2=96,$P$2=97),$Q53,0)</f>
        <v>322733</v>
      </c>
      <c r="K53" s="1097"/>
      <c r="L53" s="1122">
        <f>+IF($P$2=33,$Q53,0)</f>
        <v>0</v>
      </c>
      <c r="M53" s="1097"/>
      <c r="N53" s="1123">
        <f>+ROUND(+G53+J53+L53,0)</f>
        <v>322733</v>
      </c>
      <c r="O53" s="1099"/>
      <c r="P53" s="1121">
        <f>+ROUND(OTCHET!E186+OTCHET!E189,0)</f>
        <v>340448</v>
      </c>
      <c r="Q53" s="1122">
        <f>+ROUND(OTCHET!L186+OTCHET!L189,0)</f>
        <v>322733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64367</v>
      </c>
      <c r="J54" s="1122">
        <f>+IF(OR($P$2=98,$P$2=42,$P$2=96,$P$2=97),$Q54,0)</f>
        <v>58917</v>
      </c>
      <c r="K54" s="1097"/>
      <c r="L54" s="1122">
        <f>+IF($P$2=33,$Q54,0)</f>
        <v>0</v>
      </c>
      <c r="M54" s="1097"/>
      <c r="N54" s="1123">
        <f>+ROUND(+G54+J54+L54,0)</f>
        <v>58917</v>
      </c>
      <c r="O54" s="1099"/>
      <c r="P54" s="1121">
        <f>+ROUND(OTCHET!E195+OTCHET!E203,0)</f>
        <v>64367</v>
      </c>
      <c r="Q54" s="1122">
        <f>+ROUND(OTCHET!L195+OTCHET!L203,0)</f>
        <v>58917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1654515</v>
      </c>
      <c r="J55" s="1210">
        <f>+ROUND(+SUM(J50:J54),0)</f>
        <v>1095302</v>
      </c>
      <c r="K55" s="1097"/>
      <c r="L55" s="1210">
        <f>+ROUND(+SUM(L50:L54),0)</f>
        <v>0</v>
      </c>
      <c r="M55" s="1097"/>
      <c r="N55" s="1211">
        <f>+ROUND(+SUM(N50:N54),0)</f>
        <v>1095302</v>
      </c>
      <c r="O55" s="1099"/>
      <c r="P55" s="1209">
        <f>+ROUND(+SUM(P50:P54),0)</f>
        <v>1654515</v>
      </c>
      <c r="Q55" s="1210">
        <f>+ROUND(+SUM(Q50:Q54),0)</f>
        <v>1095302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3204</v>
      </c>
      <c r="J58" s="1122">
        <f>+IF(OR($P$2=98,$P$2=42,$P$2=96,$P$2=97),$Q58,0)</f>
        <v>3204</v>
      </c>
      <c r="K58" s="1097"/>
      <c r="L58" s="1122">
        <f>+IF($P$2=33,$Q58,0)</f>
        <v>0</v>
      </c>
      <c r="M58" s="1097"/>
      <c r="N58" s="1123">
        <f>+ROUND(+G58+J58+L58,0)</f>
        <v>3204</v>
      </c>
      <c r="O58" s="1099"/>
      <c r="P58" s="1121">
        <f>+ROUND(+OTCHET!E275+OTCHET!E276,0)</f>
        <v>3204</v>
      </c>
      <c r="Q58" s="1122">
        <f>+ROUND(+OTCHET!L275+OTCHET!L276,0)</f>
        <v>3204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3204</v>
      </c>
      <c r="J62" s="1210">
        <f>+ROUND(+SUM(J57:J60),0)</f>
        <v>3204</v>
      </c>
      <c r="K62" s="1097"/>
      <c r="L62" s="1210">
        <f>+ROUND(+SUM(L57:L60),0)</f>
        <v>0</v>
      </c>
      <c r="M62" s="1097"/>
      <c r="N62" s="1211">
        <f>+ROUND(+SUM(N57:N60),0)</f>
        <v>3204</v>
      </c>
      <c r="O62" s="1099"/>
      <c r="P62" s="1209">
        <f>+ROUND(+SUM(P57:P60),0)</f>
        <v>3204</v>
      </c>
      <c r="Q62" s="1210">
        <f>+ROUND(+SUM(Q57:Q60),0)</f>
        <v>3204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27561</v>
      </c>
      <c r="J68" s="1104">
        <f>+IF(OR($P$2=98,$P$2=42,$P$2=96,$P$2=97),$Q68,0)</f>
        <v>25949</v>
      </c>
      <c r="K68" s="1097"/>
      <c r="L68" s="1104">
        <f>+IF($P$2=33,$Q68,0)</f>
        <v>0</v>
      </c>
      <c r="M68" s="1097"/>
      <c r="N68" s="1134">
        <f>+ROUND(+G68+J68+L68,0)</f>
        <v>25949</v>
      </c>
      <c r="O68" s="1099"/>
      <c r="P68" s="1103">
        <f>+ROUND(+SUM(OTCHET!E255:E258)+IF(+OR(OTCHET!$F$12=5500,OTCHET!$F$12=5600),+OTCHET!E297,0),0)</f>
        <v>27561</v>
      </c>
      <c r="Q68" s="1104">
        <f>+ROUND(+SUM(OTCHET!L255:L258)+IF(+OR(OTCHET!$F$12=5500,OTCHET!$F$12=5600),+OTCHET!L297,0),0)</f>
        <v>25949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27561</v>
      </c>
      <c r="J70" s="1210">
        <f>+ROUND(+SUM(J68:J69),0)</f>
        <v>25949</v>
      </c>
      <c r="K70" s="1097"/>
      <c r="L70" s="1210">
        <f>+ROUND(+SUM(L68:L69),0)</f>
        <v>0</v>
      </c>
      <c r="M70" s="1097"/>
      <c r="N70" s="1211">
        <f>+ROUND(+SUM(N68:N69),0)</f>
        <v>25949</v>
      </c>
      <c r="O70" s="1099"/>
      <c r="P70" s="1209">
        <f>+ROUND(+SUM(P68:P69),0)</f>
        <v>27561</v>
      </c>
      <c r="Q70" s="1210">
        <f>+ROUND(+SUM(Q68:Q69),0)</f>
        <v>25949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1685280</v>
      </c>
      <c r="J76" s="1235">
        <f>+ROUND(J55+J62+J66+J70+J74,0)</f>
        <v>1124455</v>
      </c>
      <c r="K76" s="1097"/>
      <c r="L76" s="1235">
        <f>+ROUND(L55+L62+L66+L70+L74,0)</f>
        <v>0</v>
      </c>
      <c r="M76" s="1097"/>
      <c r="N76" s="1236">
        <f>+ROUND(N55+N62+N66+N70+N74,0)</f>
        <v>1124455</v>
      </c>
      <c r="O76" s="1099"/>
      <c r="P76" s="1233">
        <f>+ROUND(P55+P62+P66+P70+P74,0)</f>
        <v>1685280</v>
      </c>
      <c r="Q76" s="1234">
        <f>+ROUND(Q55+Q62+Q66+Q70+Q74,0)</f>
        <v>1124455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1548750</v>
      </c>
      <c r="J78" s="1110">
        <f>+IF(OR($P$2=98,$P$2=42,$P$2=96,$P$2=97),$Q78,0)</f>
        <v>1548750</v>
      </c>
      <c r="K78" s="1097"/>
      <c r="L78" s="1110">
        <f>+IF($P$2=33,$Q78,0)</f>
        <v>0</v>
      </c>
      <c r="M78" s="1097"/>
      <c r="N78" s="1111">
        <f>+ROUND(+G78+J78+L78,0)</f>
        <v>1548750</v>
      </c>
      <c r="O78" s="1099"/>
      <c r="P78" s="1109">
        <f>+ROUND(OTCHET!E415,0)</f>
        <v>1548750</v>
      </c>
      <c r="Q78" s="1110">
        <f>+ROUND(OTCHET!L415,0)</f>
        <v>1548750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1548750</v>
      </c>
      <c r="J80" s="1244">
        <f>+ROUND(J78+J79,0)</f>
        <v>1548750</v>
      </c>
      <c r="K80" s="1097"/>
      <c r="L80" s="1244">
        <f>+ROUND(L78+L79,0)</f>
        <v>0</v>
      </c>
      <c r="M80" s="1097"/>
      <c r="N80" s="1245">
        <f>+ROUND(N78+N79,0)</f>
        <v>1548750</v>
      </c>
      <c r="O80" s="1099"/>
      <c r="P80" s="1243">
        <f>+ROUND(P78+P79,0)</f>
        <v>1548750</v>
      </c>
      <c r="Q80" s="1244">
        <f>+ROUND(Q78+Q79,0)</f>
        <v>1548750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424295</v>
      </c>
      <c r="K82" s="1097"/>
      <c r="L82" s="1257">
        <f>+ROUND(L47,0)-ROUND(L76,0)+ROUND(L80,0)</f>
        <v>0</v>
      </c>
      <c r="M82" s="1097"/>
      <c r="N82" s="1258">
        <f>+ROUND(N47,0)-ROUND(N76,0)+ROUND(N80,0)</f>
        <v>424295</v>
      </c>
      <c r="O82" s="1259"/>
      <c r="P82" s="1256">
        <f>+ROUND(P47,0)-ROUND(P76,0)+ROUND(P80,0)</f>
        <v>-136530</v>
      </c>
      <c r="Q82" s="1257">
        <f>+ROUND(Q47,0)-ROUND(Q76,0)+ROUND(Q80,0)</f>
        <v>424295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-424295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-424295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-424295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1051</v>
      </c>
      <c r="K122" s="1097"/>
      <c r="L122" s="1122">
        <f>+IF($P$2=33,$Q122,0)</f>
        <v>0</v>
      </c>
      <c r="M122" s="1097"/>
      <c r="N122" s="1123">
        <f>+ROUND(+G122+J122+L122,0)</f>
        <v>1051</v>
      </c>
      <c r="O122" s="1099"/>
      <c r="P122" s="1121">
        <f>+ROUND(OTCHET!E520,0)</f>
        <v>37778</v>
      </c>
      <c r="Q122" s="1122">
        <f>+ROUND(OTCHET!L520,0)</f>
        <v>1051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1051</v>
      </c>
      <c r="K125" s="1097"/>
      <c r="L125" s="1244">
        <f>+ROUND(+SUM(L121:L124),0)</f>
        <v>0</v>
      </c>
      <c r="M125" s="1097"/>
      <c r="N125" s="1245">
        <f>+ROUND(+SUM(N121:N124),0)</f>
        <v>1051</v>
      </c>
      <c r="O125" s="1099"/>
      <c r="P125" s="1243">
        <f>+ROUND(+SUM(P121:P124),0)</f>
        <v>37778</v>
      </c>
      <c r="Q125" s="1244">
        <f>+ROUND(+SUM(Q121:Q124),0)</f>
        <v>1051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524098</v>
      </c>
      <c r="K129" s="1097"/>
      <c r="L129" s="1122">
        <f>+IF($P$2=33,$Q129,0)</f>
        <v>0</v>
      </c>
      <c r="M129" s="1097"/>
      <c r="N129" s="1123">
        <f>+ROUND(+G129+J129+L129,0)</f>
        <v>524098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524098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425346</v>
      </c>
      <c r="K130" s="1097"/>
      <c r="L130" s="1297">
        <f>+ROUND(+L129-L127-L128,0)</f>
        <v>0</v>
      </c>
      <c r="M130" s="1097"/>
      <c r="N130" s="1298">
        <f>+ROUND(+N129-N127-N128,0)</f>
        <v>425346</v>
      </c>
      <c r="O130" s="1099"/>
      <c r="P130" s="1296">
        <f>+ROUND(+P129-P127-P128,0)</f>
        <v>-98752</v>
      </c>
      <c r="Q130" s="1297">
        <f>+ROUND(+Q129-Q127-Q128,0)</f>
        <v>425346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89" operator="notEqual" stopIfTrue="1">
      <formula>0</formula>
    </cfRule>
  </conditionalFormatting>
  <conditionalFormatting sqref="B131">
    <cfRule type="cellIs" priority="46" dxfId="190" operator="notEqual" stopIfTrue="1">
      <formula>0</formula>
    </cfRule>
    <cfRule type="cellIs" priority="34" dxfId="191" operator="equal">
      <formula>0</formula>
    </cfRule>
  </conditionalFormatting>
  <conditionalFormatting sqref="G2">
    <cfRule type="cellIs" priority="6" dxfId="78" operator="notEqual" stopIfTrue="1">
      <formula>0</formula>
    </cfRule>
    <cfRule type="cellIs" priority="7" dxfId="192" operator="equal" stopIfTrue="1">
      <formula>0</formula>
    </cfRule>
    <cfRule type="cellIs" priority="8" dxfId="193" operator="equal" stopIfTrue="1">
      <formula>0</formula>
    </cfRule>
    <cfRule type="cellIs" priority="45" dxfId="194" operator="equal">
      <formula>0</formula>
    </cfRule>
  </conditionalFormatting>
  <conditionalFormatting sqref="I2">
    <cfRule type="cellIs" priority="44" dxfId="194" operator="equal">
      <formula>0</formula>
    </cfRule>
  </conditionalFormatting>
  <conditionalFormatting sqref="F135:G136">
    <cfRule type="cellIs" priority="42" dxfId="19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95" operator="equal" stopIfTrue="1">
      <formula>"НЕРАВНЕНИЕ!"</formula>
    </cfRule>
  </conditionalFormatting>
  <conditionalFormatting sqref="L135:M136">
    <cfRule type="cellIs" priority="40" dxfId="195" operator="equal" stopIfTrue="1">
      <formula>"НЕРАВНЕНИЕ!"</formula>
    </cfRule>
  </conditionalFormatting>
  <conditionalFormatting sqref="F138:G139">
    <cfRule type="cellIs" priority="38" dxfId="19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95" operator="equal" stopIfTrue="1">
      <formula>"НЕРАВНЕНИЕ !"</formula>
    </cfRule>
  </conditionalFormatting>
  <conditionalFormatting sqref="L138:M139">
    <cfRule type="cellIs" priority="36" dxfId="195" operator="equal" stopIfTrue="1">
      <formula>"НЕРАВНЕНИЕ !"</formula>
    </cfRule>
  </conditionalFormatting>
  <conditionalFormatting sqref="I138:J139 L138:L139 N138:N139 F138:G139">
    <cfRule type="cellIs" priority="35" dxfId="195" operator="notEqual">
      <formula>0</formula>
    </cfRule>
  </conditionalFormatting>
  <conditionalFormatting sqref="I131:J131">
    <cfRule type="cellIs" priority="33" dxfId="189" operator="notEqual" stopIfTrue="1">
      <formula>0</formula>
    </cfRule>
  </conditionalFormatting>
  <conditionalFormatting sqref="L81">
    <cfRule type="cellIs" priority="28" dxfId="189" operator="notEqual" stopIfTrue="1">
      <formula>0</formula>
    </cfRule>
  </conditionalFormatting>
  <conditionalFormatting sqref="N81">
    <cfRule type="cellIs" priority="27" dxfId="189" operator="notEqual" stopIfTrue="1">
      <formula>0</formula>
    </cfRule>
  </conditionalFormatting>
  <conditionalFormatting sqref="L131">
    <cfRule type="cellIs" priority="32" dxfId="189" operator="notEqual" stopIfTrue="1">
      <formula>0</formula>
    </cfRule>
  </conditionalFormatting>
  <conditionalFormatting sqref="N131">
    <cfRule type="cellIs" priority="31" dxfId="189" operator="notEqual" stopIfTrue="1">
      <formula>0</formula>
    </cfRule>
  </conditionalFormatting>
  <conditionalFormatting sqref="F81:H81">
    <cfRule type="cellIs" priority="30" dxfId="189" operator="notEqual" stopIfTrue="1">
      <formula>0</formula>
    </cfRule>
  </conditionalFormatting>
  <conditionalFormatting sqref="I81:J81">
    <cfRule type="cellIs" priority="29" dxfId="189" operator="notEqual" stopIfTrue="1">
      <formula>0</formula>
    </cfRule>
  </conditionalFormatting>
  <conditionalFormatting sqref="B81">
    <cfRule type="cellIs" priority="25" dxfId="192" operator="equal">
      <formula>0</formula>
    </cfRule>
    <cfRule type="cellIs" priority="26" dxfId="190" operator="notEqual" stopIfTrue="1">
      <formula>0</formula>
    </cfRule>
  </conditionalFormatting>
  <conditionalFormatting sqref="P131:Q131">
    <cfRule type="cellIs" priority="24" dxfId="189" operator="notEqual" stopIfTrue="1">
      <formula>0</formula>
    </cfRule>
  </conditionalFormatting>
  <conditionalFormatting sqref="P135:Q136">
    <cfRule type="cellIs" priority="22" dxfId="19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9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95" operator="notEqual">
      <formula>0</formula>
    </cfRule>
  </conditionalFormatting>
  <conditionalFormatting sqref="P2">
    <cfRule type="cellIs" priority="14" dxfId="196" operator="equal" stopIfTrue="1">
      <formula>98</formula>
    </cfRule>
    <cfRule type="cellIs" priority="15" dxfId="197" operator="equal" stopIfTrue="1">
      <formula>96</formula>
    </cfRule>
    <cfRule type="cellIs" priority="16" dxfId="198" operator="equal" stopIfTrue="1">
      <formula>42</formula>
    </cfRule>
    <cfRule type="cellIs" priority="17" dxfId="199" operator="equal" stopIfTrue="1">
      <formula>97</formula>
    </cfRule>
    <cfRule type="cellIs" priority="18" dxfId="200" operator="equal" stopIfTrue="1">
      <formula>33</formula>
    </cfRule>
  </conditionalFormatting>
  <conditionalFormatting sqref="Q2">
    <cfRule type="cellIs" priority="9" dxfId="200" operator="equal" stopIfTrue="1">
      <formula>"Чужди средства"</formula>
    </cfRule>
    <cfRule type="cellIs" priority="10" dxfId="199" operator="equal" stopIfTrue="1">
      <formula>"СЕС - ДМП"</formula>
    </cfRule>
    <cfRule type="cellIs" priority="11" dxfId="198" operator="equal" stopIfTrue="1">
      <formula>"СЕС - РА"</formula>
    </cfRule>
    <cfRule type="cellIs" priority="12" dxfId="197" operator="equal" stopIfTrue="1">
      <formula>"СЕС - ДЕС"</formula>
    </cfRule>
    <cfRule type="cellIs" priority="13" dxfId="196" operator="equal" stopIfTrue="1">
      <formula>"СЕС - КСФ"</formula>
    </cfRule>
  </conditionalFormatting>
  <conditionalFormatting sqref="P81:Q81">
    <cfRule type="cellIs" priority="5" dxfId="189" operator="notEqual" stopIfTrue="1">
      <formula>0</formula>
    </cfRule>
  </conditionalFormatting>
  <conditionalFormatting sqref="T2:U2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43100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1685280</v>
      </c>
      <c r="F38" s="848">
        <f>SUM(F39:F53)-F44-F46-F51-F52</f>
        <v>1124455</v>
      </c>
      <c r="G38" s="849">
        <f>SUM(G39:G53)-G44-G46-G51-G52</f>
        <v>167599</v>
      </c>
      <c r="H38" s="850">
        <f>SUM(H39:H53)-H44-H46-H51-H52</f>
        <v>956856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103089</v>
      </c>
      <c r="F39" s="771">
        <f aca="true" t="shared" si="1" ref="F39:F53">+G39+H39+I39</f>
        <v>85374</v>
      </c>
      <c r="G39" s="772">
        <f>OTCHET!I186</f>
        <v>73028</v>
      </c>
      <c r="H39" s="773">
        <f>OTCHET!J186</f>
        <v>12346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237359</v>
      </c>
      <c r="F40" s="816">
        <f t="shared" si="1"/>
        <v>237359</v>
      </c>
      <c r="G40" s="817">
        <f>OTCHET!I189</f>
        <v>27207</v>
      </c>
      <c r="H40" s="818">
        <f>OTCHET!J189</f>
        <v>210152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64367</v>
      </c>
      <c r="F41" s="816">
        <f t="shared" si="1"/>
        <v>58917</v>
      </c>
      <c r="G41" s="817">
        <f>+OTCHET!I195+OTCHET!I203</f>
        <v>21817</v>
      </c>
      <c r="H41" s="818">
        <f>+OTCHET!J195+OTCHET!J203</f>
        <v>37100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1249700</v>
      </c>
      <c r="F42" s="816">
        <f t="shared" si="1"/>
        <v>713652</v>
      </c>
      <c r="G42" s="817">
        <f>+OTCHET!I204+OTCHET!I222+OTCHET!I271</f>
        <v>19598</v>
      </c>
      <c r="H42" s="818">
        <f>+OTCHET!J204+OTCHET!J222+OTCHET!J271</f>
        <v>694054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27561</v>
      </c>
      <c r="F45" s="868">
        <f t="shared" si="1"/>
        <v>25949</v>
      </c>
      <c r="G45" s="869">
        <f>+OTCHET!I255+OTCHET!I256+OTCHET!I257+OTCHET!I258</f>
        <v>25949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27561</v>
      </c>
      <c r="F46" s="862">
        <f t="shared" si="1"/>
        <v>25949</v>
      </c>
      <c r="G46" s="863">
        <f>+OTCHET!I256</f>
        <v>25949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3204</v>
      </c>
      <c r="F48" s="816">
        <f t="shared" si="1"/>
        <v>3204</v>
      </c>
      <c r="G48" s="817">
        <f>OTCHET!I275+OTCHET!I276+OTCHET!I284+OTCHET!I287</f>
        <v>0</v>
      </c>
      <c r="H48" s="818">
        <f>OTCHET!J275+OTCHET!J276+OTCHET!J284+OTCHET!J287</f>
        <v>3204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1548750</v>
      </c>
      <c r="F54" s="894">
        <f>+F55+F56+F60</f>
        <v>1548750</v>
      </c>
      <c r="G54" s="895">
        <f>+G55+G56+G60</f>
        <v>166548</v>
      </c>
      <c r="H54" s="896">
        <f>+H55+H56+H60</f>
        <v>1382202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1548750</v>
      </c>
      <c r="F56" s="903">
        <f t="shared" si="2"/>
        <v>1548750</v>
      </c>
      <c r="G56" s="904">
        <f>+OTCHET!I379+OTCHET!I387+OTCHET!I392+OTCHET!I395+OTCHET!I398+OTCHET!I401+OTCHET!I402+OTCHET!I405+OTCHET!I418+OTCHET!I419+OTCHET!I420+OTCHET!I421+OTCHET!I422</f>
        <v>166548</v>
      </c>
      <c r="H56" s="905">
        <f>+OTCHET!J379+OTCHET!J387+OTCHET!J392+OTCHET!J395+OTCHET!J398+OTCHET!J401+OTCHET!J402+OTCHET!J405+OTCHET!J418+OTCHET!J419+OTCHET!J420+OTCHET!J421+OTCHET!J422</f>
        <v>1382202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-136530</v>
      </c>
      <c r="F62" s="929">
        <f>+F22-F38+F54-F61</f>
        <v>424295</v>
      </c>
      <c r="G62" s="930">
        <f>+G22-G38+G54-G61</f>
        <v>-1051</v>
      </c>
      <c r="H62" s="931">
        <f>+H22-H38+H54-H61</f>
        <v>425346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-424295</v>
      </c>
      <c r="G64" s="940">
        <f>SUM(+G66+G74+G75+G82+G83+G84+G87+G88+G89+G90+G91+G92+G93)</f>
        <v>1051</v>
      </c>
      <c r="H64" s="941">
        <f>SUM(+H66+H74+H75+H82+H83+H84+H87+H88+H89+H90+H91+H92+H93)</f>
        <v>-425346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37778</v>
      </c>
      <c r="F84" s="907">
        <f>+F85+F86</f>
        <v>1051</v>
      </c>
      <c r="G84" s="908">
        <f>+G85+G86</f>
        <v>1051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1051</v>
      </c>
      <c r="G86" s="966">
        <f>+OTCHET!I517+OTCHET!I520+OTCHET!I540</f>
        <v>1051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-524098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-524098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89" operator="notEqual" stopIfTrue="1">
      <formula>0</formula>
    </cfRule>
  </conditionalFormatting>
  <conditionalFormatting sqref="E103:I103">
    <cfRule type="cellIs" priority="19" dxfId="189" operator="notEqual" stopIfTrue="1">
      <formula>0</formula>
    </cfRule>
  </conditionalFormatting>
  <conditionalFormatting sqref="G105:H105 B105">
    <cfRule type="cellIs" priority="18" dxfId="205" operator="equal" stopIfTrue="1">
      <formula>0</formula>
    </cfRule>
  </conditionalFormatting>
  <conditionalFormatting sqref="I112 E108">
    <cfRule type="cellIs" priority="17" dxfId="193" operator="equal" stopIfTrue="1">
      <formula>0</formula>
    </cfRule>
  </conditionalFormatting>
  <conditionalFormatting sqref="E112:F112">
    <cfRule type="cellIs" priority="16" dxfId="193" operator="equal" stopIfTrue="1">
      <formula>0</formula>
    </cfRule>
  </conditionalFormatting>
  <conditionalFormatting sqref="E15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5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B103">
    <cfRule type="cellIs" priority="5" dxfId="190" operator="notEqual" stopIfTrue="1">
      <formula>0</formula>
    </cfRule>
  </conditionalFormatting>
  <conditionalFormatting sqref="I11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1024">
      <selection activeCell="D1036" sqref="D103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43100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декември</v>
      </c>
      <c r="G10" s="113"/>
      <c r="H10" s="114"/>
      <c r="I10" s="1763" t="s">
        <v>989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Симеоновград</v>
      </c>
      <c r="C12" s="1792"/>
      <c r="D12" s="1793"/>
      <c r="E12" s="118" t="s">
        <v>983</v>
      </c>
      <c r="F12" s="1591" t="s">
        <v>1652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2" t="s">
        <v>2042</v>
      </c>
      <c r="F19" s="1833"/>
      <c r="G19" s="1833"/>
      <c r="H19" s="1834"/>
      <c r="I19" s="1838" t="s">
        <v>2043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Симеоновград</v>
      </c>
      <c r="C178" s="1792"/>
      <c r="D178" s="1793"/>
      <c r="E178" s="232" t="s">
        <v>908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2" t="s">
        <v>2044</v>
      </c>
      <c r="F182" s="1833"/>
      <c r="G182" s="1833"/>
      <c r="H182" s="1834"/>
      <c r="I182" s="1841" t="s">
        <v>2045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761</v>
      </c>
      <c r="D186" s="1822"/>
      <c r="E186" s="274">
        <f aca="true" t="shared" si="42" ref="E186:L186">SUMIF($B$603:$B$12309,$B186,E$603:E$12309)</f>
        <v>103089</v>
      </c>
      <c r="F186" s="275">
        <f t="shared" si="42"/>
        <v>90743</v>
      </c>
      <c r="G186" s="276">
        <f t="shared" si="42"/>
        <v>12346</v>
      </c>
      <c r="H186" s="277">
        <f t="shared" si="42"/>
        <v>0</v>
      </c>
      <c r="I186" s="275">
        <f t="shared" si="42"/>
        <v>73028</v>
      </c>
      <c r="J186" s="276">
        <f t="shared" si="42"/>
        <v>12346</v>
      </c>
      <c r="K186" s="277">
        <f t="shared" si="42"/>
        <v>0</v>
      </c>
      <c r="L186" s="274">
        <f t="shared" si="42"/>
        <v>85374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94097</v>
      </c>
      <c r="F187" s="283">
        <f t="shared" si="44"/>
        <v>90743</v>
      </c>
      <c r="G187" s="284">
        <f t="shared" si="44"/>
        <v>3354</v>
      </c>
      <c r="H187" s="285">
        <f t="shared" si="44"/>
        <v>0</v>
      </c>
      <c r="I187" s="283">
        <f t="shared" si="44"/>
        <v>73028</v>
      </c>
      <c r="J187" s="284">
        <f t="shared" si="44"/>
        <v>3354</v>
      </c>
      <c r="K187" s="285">
        <f t="shared" si="44"/>
        <v>0</v>
      </c>
      <c r="L187" s="282">
        <f t="shared" si="44"/>
        <v>76382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8992</v>
      </c>
      <c r="F188" s="289">
        <f t="shared" si="44"/>
        <v>0</v>
      </c>
      <c r="G188" s="290">
        <f t="shared" si="44"/>
        <v>8992</v>
      </c>
      <c r="H188" s="291">
        <f t="shared" si="44"/>
        <v>0</v>
      </c>
      <c r="I188" s="289">
        <f t="shared" si="44"/>
        <v>0</v>
      </c>
      <c r="J188" s="290">
        <f t="shared" si="44"/>
        <v>8992</v>
      </c>
      <c r="K188" s="291">
        <f t="shared" si="44"/>
        <v>0</v>
      </c>
      <c r="L188" s="288">
        <f t="shared" si="44"/>
        <v>8992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817" t="s">
        <v>764</v>
      </c>
      <c r="D189" s="1818"/>
      <c r="E189" s="274">
        <f aca="true" t="shared" si="45" ref="E189:L189">SUMIF($B$603:$B$12309,$B189,E$603:E$12309)</f>
        <v>237359</v>
      </c>
      <c r="F189" s="275">
        <f t="shared" si="45"/>
        <v>27207</v>
      </c>
      <c r="G189" s="276">
        <f t="shared" si="45"/>
        <v>210152</v>
      </c>
      <c r="H189" s="277">
        <f t="shared" si="45"/>
        <v>0</v>
      </c>
      <c r="I189" s="275">
        <f t="shared" si="45"/>
        <v>27207</v>
      </c>
      <c r="J189" s="276">
        <f t="shared" si="45"/>
        <v>210152</v>
      </c>
      <c r="K189" s="277">
        <f t="shared" si="45"/>
        <v>0</v>
      </c>
      <c r="L189" s="274">
        <f t="shared" si="45"/>
        <v>237359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199804</v>
      </c>
      <c r="F190" s="283">
        <f t="shared" si="46"/>
        <v>27207</v>
      </c>
      <c r="G190" s="284">
        <f t="shared" si="46"/>
        <v>172597</v>
      </c>
      <c r="H190" s="285">
        <f t="shared" si="46"/>
        <v>0</v>
      </c>
      <c r="I190" s="283">
        <f t="shared" si="46"/>
        <v>27207</v>
      </c>
      <c r="J190" s="284">
        <f t="shared" si="46"/>
        <v>172597</v>
      </c>
      <c r="K190" s="285">
        <f t="shared" si="46"/>
        <v>0</v>
      </c>
      <c r="L190" s="282">
        <f t="shared" si="46"/>
        <v>199804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37555</v>
      </c>
      <c r="F191" s="297">
        <f t="shared" si="46"/>
        <v>0</v>
      </c>
      <c r="G191" s="298">
        <f t="shared" si="46"/>
        <v>37555</v>
      </c>
      <c r="H191" s="299">
        <f t="shared" si="46"/>
        <v>0</v>
      </c>
      <c r="I191" s="297">
        <f t="shared" si="46"/>
        <v>0</v>
      </c>
      <c r="J191" s="298">
        <f t="shared" si="46"/>
        <v>37555</v>
      </c>
      <c r="K191" s="299">
        <f t="shared" si="46"/>
        <v>0</v>
      </c>
      <c r="L191" s="296">
        <f t="shared" si="46"/>
        <v>37555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64367</v>
      </c>
      <c r="F195" s="275">
        <f t="shared" si="47"/>
        <v>27267</v>
      </c>
      <c r="G195" s="276">
        <f t="shared" si="47"/>
        <v>37100</v>
      </c>
      <c r="H195" s="277">
        <f t="shared" si="47"/>
        <v>0</v>
      </c>
      <c r="I195" s="275">
        <f t="shared" si="47"/>
        <v>21817</v>
      </c>
      <c r="J195" s="276">
        <f t="shared" si="47"/>
        <v>37100</v>
      </c>
      <c r="K195" s="277">
        <f t="shared" si="47"/>
        <v>0</v>
      </c>
      <c r="L195" s="274">
        <f t="shared" si="47"/>
        <v>58917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36251</v>
      </c>
      <c r="F196" s="283">
        <f t="shared" si="48"/>
        <v>13194</v>
      </c>
      <c r="G196" s="284">
        <f t="shared" si="48"/>
        <v>23057</v>
      </c>
      <c r="H196" s="285">
        <f t="shared" si="48"/>
        <v>0</v>
      </c>
      <c r="I196" s="283">
        <f t="shared" si="48"/>
        <v>11307</v>
      </c>
      <c r="J196" s="284">
        <f t="shared" si="48"/>
        <v>23057</v>
      </c>
      <c r="K196" s="285">
        <f t="shared" si="48"/>
        <v>0</v>
      </c>
      <c r="L196" s="282">
        <f t="shared" si="48"/>
        <v>34364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3799</v>
      </c>
      <c r="F197" s="297">
        <f t="shared" si="48"/>
        <v>3799</v>
      </c>
      <c r="G197" s="298">
        <f t="shared" si="48"/>
        <v>0</v>
      </c>
      <c r="H197" s="299">
        <f t="shared" si="48"/>
        <v>0</v>
      </c>
      <c r="I197" s="297">
        <f t="shared" si="48"/>
        <v>3035</v>
      </c>
      <c r="J197" s="298">
        <f t="shared" si="48"/>
        <v>0</v>
      </c>
      <c r="K197" s="299">
        <f t="shared" si="48"/>
        <v>0</v>
      </c>
      <c r="L197" s="296">
        <f t="shared" si="48"/>
        <v>3035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15670</v>
      </c>
      <c r="F199" s="297">
        <f t="shared" si="48"/>
        <v>6147</v>
      </c>
      <c r="G199" s="298">
        <f t="shared" si="48"/>
        <v>9523</v>
      </c>
      <c r="H199" s="299">
        <f t="shared" si="48"/>
        <v>0</v>
      </c>
      <c r="I199" s="297">
        <f t="shared" si="48"/>
        <v>4907</v>
      </c>
      <c r="J199" s="298">
        <f t="shared" si="48"/>
        <v>9523</v>
      </c>
      <c r="K199" s="299">
        <f t="shared" si="48"/>
        <v>0</v>
      </c>
      <c r="L199" s="296">
        <f t="shared" si="48"/>
        <v>14430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8647</v>
      </c>
      <c r="F200" s="297">
        <f t="shared" si="48"/>
        <v>4127</v>
      </c>
      <c r="G200" s="298">
        <f t="shared" si="48"/>
        <v>4520</v>
      </c>
      <c r="H200" s="299">
        <f t="shared" si="48"/>
        <v>0</v>
      </c>
      <c r="I200" s="297">
        <f t="shared" si="48"/>
        <v>2568</v>
      </c>
      <c r="J200" s="298">
        <f t="shared" si="48"/>
        <v>4520</v>
      </c>
      <c r="K200" s="299">
        <f t="shared" si="48"/>
        <v>0</v>
      </c>
      <c r="L200" s="296">
        <f t="shared" si="48"/>
        <v>7088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1249700</v>
      </c>
      <c r="F204" s="275">
        <f t="shared" si="49"/>
        <v>31548</v>
      </c>
      <c r="G204" s="276">
        <f t="shared" si="49"/>
        <v>1218152</v>
      </c>
      <c r="H204" s="277">
        <f t="shared" si="49"/>
        <v>0</v>
      </c>
      <c r="I204" s="275">
        <f t="shared" si="49"/>
        <v>19598</v>
      </c>
      <c r="J204" s="276">
        <f t="shared" si="49"/>
        <v>694054</v>
      </c>
      <c r="K204" s="277">
        <f t="shared" si="49"/>
        <v>0</v>
      </c>
      <c r="L204" s="311">
        <f t="shared" si="49"/>
        <v>713652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1137868</v>
      </c>
      <c r="F205" s="283">
        <f t="shared" si="50"/>
        <v>10467</v>
      </c>
      <c r="G205" s="284">
        <f t="shared" si="50"/>
        <v>1127401</v>
      </c>
      <c r="H205" s="285">
        <f t="shared" si="50"/>
        <v>0</v>
      </c>
      <c r="I205" s="283">
        <f t="shared" si="50"/>
        <v>332</v>
      </c>
      <c r="J205" s="284">
        <f t="shared" si="50"/>
        <v>638905</v>
      </c>
      <c r="K205" s="285">
        <f t="shared" si="50"/>
        <v>0</v>
      </c>
      <c r="L205" s="282">
        <f t="shared" si="50"/>
        <v>639237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518</v>
      </c>
      <c r="F207" s="297">
        <f t="shared" si="50"/>
        <v>0</v>
      </c>
      <c r="G207" s="298">
        <f t="shared" si="50"/>
        <v>518</v>
      </c>
      <c r="H207" s="299">
        <f t="shared" si="50"/>
        <v>0</v>
      </c>
      <c r="I207" s="297">
        <f t="shared" si="50"/>
        <v>0</v>
      </c>
      <c r="J207" s="298">
        <f t="shared" si="50"/>
        <v>518</v>
      </c>
      <c r="K207" s="299">
        <f t="shared" si="50"/>
        <v>0</v>
      </c>
      <c r="L207" s="296">
        <f t="shared" si="50"/>
        <v>518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3983</v>
      </c>
      <c r="F208" s="297">
        <f t="shared" si="50"/>
        <v>3983</v>
      </c>
      <c r="G208" s="298">
        <f t="shared" si="50"/>
        <v>0</v>
      </c>
      <c r="H208" s="299">
        <f t="shared" si="50"/>
        <v>0</v>
      </c>
      <c r="I208" s="297">
        <f t="shared" si="50"/>
        <v>3983</v>
      </c>
      <c r="J208" s="298">
        <f t="shared" si="50"/>
        <v>0</v>
      </c>
      <c r="K208" s="299">
        <f t="shared" si="50"/>
        <v>0</v>
      </c>
      <c r="L208" s="296">
        <f t="shared" si="50"/>
        <v>3983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26745</v>
      </c>
      <c r="F209" s="297">
        <f t="shared" si="50"/>
        <v>13223</v>
      </c>
      <c r="G209" s="298">
        <f t="shared" si="50"/>
        <v>13522</v>
      </c>
      <c r="H209" s="299">
        <f t="shared" si="50"/>
        <v>0</v>
      </c>
      <c r="I209" s="297">
        <f t="shared" si="50"/>
        <v>11722</v>
      </c>
      <c r="J209" s="298">
        <f t="shared" si="50"/>
        <v>13522</v>
      </c>
      <c r="K209" s="299">
        <f t="shared" si="50"/>
        <v>0</v>
      </c>
      <c r="L209" s="296">
        <f t="shared" si="50"/>
        <v>25244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30083</v>
      </c>
      <c r="F211" s="322">
        <f t="shared" si="50"/>
        <v>3865</v>
      </c>
      <c r="G211" s="323">
        <f t="shared" si="50"/>
        <v>26218</v>
      </c>
      <c r="H211" s="324">
        <f t="shared" si="50"/>
        <v>0</v>
      </c>
      <c r="I211" s="322">
        <f t="shared" si="50"/>
        <v>3551</v>
      </c>
      <c r="J211" s="323">
        <f t="shared" si="50"/>
        <v>26218</v>
      </c>
      <c r="K211" s="324">
        <f t="shared" si="50"/>
        <v>0</v>
      </c>
      <c r="L211" s="321">
        <f t="shared" si="50"/>
        <v>29769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14891</v>
      </c>
      <c r="F212" s="328">
        <f t="shared" si="50"/>
        <v>0</v>
      </c>
      <c r="G212" s="329">
        <f t="shared" si="50"/>
        <v>14891</v>
      </c>
      <c r="H212" s="330">
        <f t="shared" si="50"/>
        <v>0</v>
      </c>
      <c r="I212" s="328">
        <f t="shared" si="50"/>
        <v>0</v>
      </c>
      <c r="J212" s="329">
        <f t="shared" si="50"/>
        <v>14891</v>
      </c>
      <c r="K212" s="330">
        <f t="shared" si="50"/>
        <v>0</v>
      </c>
      <c r="L212" s="327">
        <f t="shared" si="50"/>
        <v>14891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10</v>
      </c>
      <c r="F216" s="322">
        <f t="shared" si="51"/>
        <v>10</v>
      </c>
      <c r="G216" s="323">
        <f t="shared" si="51"/>
        <v>0</v>
      </c>
      <c r="H216" s="324">
        <f t="shared" si="51"/>
        <v>0</v>
      </c>
      <c r="I216" s="322">
        <f t="shared" si="51"/>
        <v>10</v>
      </c>
      <c r="J216" s="323">
        <f t="shared" si="51"/>
        <v>0</v>
      </c>
      <c r="K216" s="324">
        <f t="shared" si="51"/>
        <v>0</v>
      </c>
      <c r="L216" s="321">
        <f t="shared" si="51"/>
        <v>10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35602</v>
      </c>
      <c r="F221" s="289">
        <f t="shared" si="52"/>
        <v>0</v>
      </c>
      <c r="G221" s="290">
        <f t="shared" si="52"/>
        <v>35602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  <v>1</v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739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1684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27561</v>
      </c>
      <c r="F256" s="275">
        <f t="shared" si="64"/>
        <v>27561</v>
      </c>
      <c r="G256" s="276">
        <f t="shared" si="64"/>
        <v>0</v>
      </c>
      <c r="H256" s="277">
        <f t="shared" si="64"/>
        <v>0</v>
      </c>
      <c r="I256" s="275">
        <f t="shared" si="64"/>
        <v>25949</v>
      </c>
      <c r="J256" s="276">
        <f t="shared" si="64"/>
        <v>0</v>
      </c>
      <c r="K256" s="277">
        <f t="shared" si="64"/>
        <v>0</v>
      </c>
      <c r="L256" s="311">
        <f t="shared" si="64"/>
        <v>25949</v>
      </c>
      <c r="M256" s="7">
        <f t="shared" si="63"/>
        <v>1</v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1689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1686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1687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3204</v>
      </c>
      <c r="F276" s="275">
        <f t="shared" si="70"/>
        <v>0</v>
      </c>
      <c r="G276" s="276">
        <f t="shared" si="70"/>
        <v>3204</v>
      </c>
      <c r="H276" s="277">
        <f t="shared" si="70"/>
        <v>0</v>
      </c>
      <c r="I276" s="275">
        <f t="shared" si="70"/>
        <v>0</v>
      </c>
      <c r="J276" s="276">
        <f t="shared" si="70"/>
        <v>3204</v>
      </c>
      <c r="K276" s="277">
        <f t="shared" si="70"/>
        <v>0</v>
      </c>
      <c r="L276" s="311">
        <f t="shared" si="70"/>
        <v>3204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1416</v>
      </c>
      <c r="F277" s="283">
        <f t="shared" si="71"/>
        <v>0</v>
      </c>
      <c r="G277" s="284">
        <f t="shared" si="71"/>
        <v>1416</v>
      </c>
      <c r="H277" s="285">
        <f t="shared" si="71"/>
        <v>0</v>
      </c>
      <c r="I277" s="283">
        <f t="shared" si="71"/>
        <v>0</v>
      </c>
      <c r="J277" s="284">
        <f t="shared" si="71"/>
        <v>1416</v>
      </c>
      <c r="K277" s="285">
        <f t="shared" si="71"/>
        <v>0</v>
      </c>
      <c r="L277" s="282">
        <f t="shared" si="71"/>
        <v>1416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1788</v>
      </c>
      <c r="F279" s="297">
        <f t="shared" si="71"/>
        <v>0</v>
      </c>
      <c r="G279" s="298">
        <f t="shared" si="71"/>
        <v>1788</v>
      </c>
      <c r="H279" s="299">
        <f t="shared" si="71"/>
        <v>0</v>
      </c>
      <c r="I279" s="297">
        <f t="shared" si="71"/>
        <v>0</v>
      </c>
      <c r="J279" s="298">
        <f t="shared" si="71"/>
        <v>1788</v>
      </c>
      <c r="K279" s="299">
        <f t="shared" si="71"/>
        <v>0</v>
      </c>
      <c r="L279" s="296">
        <f t="shared" si="71"/>
        <v>1788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702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703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933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711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1685280</v>
      </c>
      <c r="F301" s="397">
        <f t="shared" si="79"/>
        <v>204326</v>
      </c>
      <c r="G301" s="398">
        <f t="shared" si="79"/>
        <v>1480954</v>
      </c>
      <c r="H301" s="399">
        <f t="shared" si="79"/>
        <v>0</v>
      </c>
      <c r="I301" s="397">
        <f t="shared" si="79"/>
        <v>167599</v>
      </c>
      <c r="J301" s="398">
        <f t="shared" si="79"/>
        <v>956856</v>
      </c>
      <c r="K301" s="399">
        <f t="shared" si="79"/>
        <v>0</v>
      </c>
      <c r="L301" s="396">
        <f t="shared" si="79"/>
        <v>1124455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Симеоновград</v>
      </c>
      <c r="C349" s="1792"/>
      <c r="D349" s="1793"/>
      <c r="E349" s="411" t="s">
        <v>908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4" t="s">
        <v>2046</v>
      </c>
      <c r="F353" s="1845"/>
      <c r="G353" s="1845"/>
      <c r="H353" s="184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133</v>
      </c>
      <c r="F392" s="1624">
        <f t="shared" si="91"/>
        <v>3</v>
      </c>
      <c r="G392" s="475">
        <f t="shared" si="91"/>
        <v>130</v>
      </c>
      <c r="H392" s="446">
        <f>SUM(H393:H394)</f>
        <v>0</v>
      </c>
      <c r="I392" s="1624">
        <f t="shared" si="91"/>
        <v>3</v>
      </c>
      <c r="J392" s="445">
        <f t="shared" si="91"/>
        <v>130</v>
      </c>
      <c r="K392" s="446">
        <f>SUM(K393:K394)</f>
        <v>0</v>
      </c>
      <c r="L392" s="1380">
        <f t="shared" si="91"/>
        <v>133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133</v>
      </c>
      <c r="F393" s="152">
        <v>3</v>
      </c>
      <c r="G393" s="153">
        <v>130</v>
      </c>
      <c r="H393" s="154">
        <v>0</v>
      </c>
      <c r="I393" s="152">
        <v>3</v>
      </c>
      <c r="J393" s="153">
        <v>130</v>
      </c>
      <c r="K393" s="154">
        <v>0</v>
      </c>
      <c r="L393" s="1381">
        <f>I393+J393+K393</f>
        <v>133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1548617</v>
      </c>
      <c r="F395" s="1623">
        <f t="shared" si="92"/>
        <v>166545</v>
      </c>
      <c r="G395" s="1654">
        <f t="shared" si="92"/>
        <v>1382072</v>
      </c>
      <c r="H395" s="1657">
        <f>SUM(H396:H397)</f>
        <v>0</v>
      </c>
      <c r="I395" s="1623">
        <f t="shared" si="92"/>
        <v>166545</v>
      </c>
      <c r="J395" s="1655">
        <f t="shared" si="92"/>
        <v>1382072</v>
      </c>
      <c r="K395" s="446">
        <f>SUM(K396:K397)</f>
        <v>0</v>
      </c>
      <c r="L395" s="1380">
        <f t="shared" si="92"/>
        <v>1548617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1548617</v>
      </c>
      <c r="F396" s="152">
        <v>166545</v>
      </c>
      <c r="G396" s="1647">
        <v>1382072</v>
      </c>
      <c r="H396" s="1618">
        <v>0</v>
      </c>
      <c r="I396" s="152">
        <v>166545</v>
      </c>
      <c r="J396" s="1647">
        <v>1382072</v>
      </c>
      <c r="K396" s="1653">
        <v>0</v>
      </c>
      <c r="L396" s="1381">
        <f>I396+J396+K396</f>
        <v>1548617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942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697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698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716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1548750</v>
      </c>
      <c r="F415" s="497">
        <f t="shared" si="98"/>
        <v>166548</v>
      </c>
      <c r="G415" s="498">
        <f t="shared" si="98"/>
        <v>1382202</v>
      </c>
      <c r="H415" s="516">
        <f>SUM(H357,H371,H379,H384,H387,H392,H395,H398,H401,H402,H405,H408)</f>
        <v>0</v>
      </c>
      <c r="I415" s="497">
        <f t="shared" si="98"/>
        <v>166548</v>
      </c>
      <c r="J415" s="498">
        <f t="shared" si="98"/>
        <v>1382202</v>
      </c>
      <c r="K415" s="516">
        <f>SUM(K357,K371,K379,K384,K387,K392,K395,K398,K401,K402,K405,K408)</f>
        <v>0</v>
      </c>
      <c r="L415" s="513">
        <f t="shared" si="98"/>
        <v>1548750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784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721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700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946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Симеоновград</v>
      </c>
      <c r="C434" s="1792"/>
      <c r="D434" s="1793"/>
      <c r="E434" s="411" t="s">
        <v>908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2048</v>
      </c>
      <c r="F438" s="1833"/>
      <c r="G438" s="1833"/>
      <c r="H438" s="1834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-1051</v>
      </c>
      <c r="J441" s="548">
        <f t="shared" si="103"/>
        <v>425346</v>
      </c>
      <c r="K441" s="549">
        <f t="shared" si="103"/>
        <v>0</v>
      </c>
      <c r="L441" s="550">
        <f t="shared" si="103"/>
        <v>424295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1051</v>
      </c>
      <c r="J442" s="555">
        <f t="shared" si="104"/>
        <v>-425346</v>
      </c>
      <c r="K442" s="556">
        <f t="shared" si="104"/>
        <v>0</v>
      </c>
      <c r="L442" s="557">
        <f>+L593</f>
        <v>-424295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Симеоновград</v>
      </c>
      <c r="C450" s="1792"/>
      <c r="D450" s="1793"/>
      <c r="E450" s="411" t="s">
        <v>908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5" t="s">
        <v>2050</v>
      </c>
      <c r="F454" s="1836"/>
      <c r="G454" s="1836"/>
      <c r="H454" s="183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785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788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2024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791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798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950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955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956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957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958</v>
      </c>
      <c r="D520" s="1774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1051</v>
      </c>
      <c r="J520" s="581">
        <f t="shared" si="125"/>
        <v>0</v>
      </c>
      <c r="K520" s="582">
        <f t="shared" si="125"/>
        <v>0</v>
      </c>
      <c r="L520" s="579">
        <f t="shared" si="125"/>
        <v>1051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1051</v>
      </c>
      <c r="J523" s="159">
        <v>0</v>
      </c>
      <c r="K523" s="586">
        <v>0</v>
      </c>
      <c r="L523" s="1389">
        <f t="shared" si="121"/>
        <v>1051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960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961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962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963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972</v>
      </c>
      <c r="D562" s="1785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-425346</v>
      </c>
      <c r="K562" s="582">
        <f t="shared" si="133"/>
        <v>0</v>
      </c>
      <c r="L562" s="579">
        <f t="shared" si="133"/>
        <v>-425346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-524098</v>
      </c>
      <c r="K569" s="1669">
        <v>0</v>
      </c>
      <c r="L569" s="1395">
        <f t="shared" si="134"/>
        <v>-524098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977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850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1051</v>
      </c>
      <c r="J593" s="665">
        <f t="shared" si="138"/>
        <v>-425346</v>
      </c>
      <c r="K593" s="667">
        <f t="shared" si="138"/>
        <v>0</v>
      </c>
      <c r="L593" s="663">
        <f t="shared" si="138"/>
        <v>-424295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895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898</v>
      </c>
      <c r="C600" s="1754"/>
      <c r="D600" s="673" t="s">
        <v>899</v>
      </c>
      <c r="E600" s="674"/>
      <c r="F600" s="675"/>
      <c r="G600" s="1755" t="s">
        <v>895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900</v>
      </c>
      <c r="E601" s="677"/>
      <c r="F601" s="678"/>
      <c r="G601" s="679" t="s">
        <v>901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Симеоновград</v>
      </c>
      <c r="C613" s="1848"/>
      <c r="D613" s="1849"/>
      <c r="E613" s="411" t="s">
        <v>908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2" t="s">
        <v>2054</v>
      </c>
      <c r="F617" s="1833"/>
      <c r="G617" s="1833"/>
      <c r="H617" s="1834"/>
      <c r="I617" s="1841" t="s">
        <v>2055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761</v>
      </c>
      <c r="D624" s="1822"/>
      <c r="E624" s="274">
        <f aca="true" t="shared" si="139" ref="E624:L624">SUM(E625:E626)</f>
        <v>89363</v>
      </c>
      <c r="F624" s="275">
        <f t="shared" si="139"/>
        <v>89363</v>
      </c>
      <c r="G624" s="276">
        <f t="shared" si="139"/>
        <v>0</v>
      </c>
      <c r="H624" s="277">
        <f>SUM(H625:H626)</f>
        <v>0</v>
      </c>
      <c r="I624" s="275">
        <f t="shared" si="139"/>
        <v>71648</v>
      </c>
      <c r="J624" s="276">
        <f t="shared" si="139"/>
        <v>0</v>
      </c>
      <c r="K624" s="277">
        <f t="shared" si="139"/>
        <v>0</v>
      </c>
      <c r="L624" s="274">
        <f t="shared" si="139"/>
        <v>71648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89363</v>
      </c>
      <c r="F625" s="152">
        <v>89363</v>
      </c>
      <c r="G625" s="153">
        <v>0</v>
      </c>
      <c r="H625" s="1421">
        <v>0</v>
      </c>
      <c r="I625" s="152">
        <v>71648</v>
      </c>
      <c r="J625" s="153">
        <v>0</v>
      </c>
      <c r="K625" s="1421">
        <v>0</v>
      </c>
      <c r="L625" s="282">
        <f>I625+J625+K625</f>
        <v>71648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764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22149</v>
      </c>
      <c r="F633" s="275">
        <f t="shared" si="142"/>
        <v>22149</v>
      </c>
      <c r="G633" s="276">
        <f t="shared" si="142"/>
        <v>0</v>
      </c>
      <c r="H633" s="277">
        <f>SUM(H634:H640)</f>
        <v>0</v>
      </c>
      <c r="I633" s="275">
        <f t="shared" si="142"/>
        <v>16699</v>
      </c>
      <c r="J633" s="276">
        <f t="shared" si="142"/>
        <v>0</v>
      </c>
      <c r="K633" s="277">
        <f t="shared" si="142"/>
        <v>0</v>
      </c>
      <c r="L633" s="274">
        <f t="shared" si="142"/>
        <v>16699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10178</v>
      </c>
      <c r="F634" s="152">
        <v>10178</v>
      </c>
      <c r="G634" s="153">
        <v>0</v>
      </c>
      <c r="H634" s="1421">
        <v>0</v>
      </c>
      <c r="I634" s="152">
        <v>8291</v>
      </c>
      <c r="J634" s="153">
        <v>0</v>
      </c>
      <c r="K634" s="1421">
        <v>0</v>
      </c>
      <c r="L634" s="282">
        <f aca="true" t="shared" si="144" ref="L634:L641">I634+J634+K634</f>
        <v>8291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3799</v>
      </c>
      <c r="F635" s="158">
        <v>3799</v>
      </c>
      <c r="G635" s="159">
        <v>0</v>
      </c>
      <c r="H635" s="1426">
        <v>0</v>
      </c>
      <c r="I635" s="158">
        <v>3035</v>
      </c>
      <c r="J635" s="159">
        <v>0</v>
      </c>
      <c r="K635" s="1426">
        <v>0</v>
      </c>
      <c r="L635" s="296">
        <f t="shared" si="144"/>
        <v>3035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4808</v>
      </c>
      <c r="F637" s="158">
        <v>4808</v>
      </c>
      <c r="G637" s="159">
        <v>0</v>
      </c>
      <c r="H637" s="1426">
        <v>0</v>
      </c>
      <c r="I637" s="158">
        <v>3568</v>
      </c>
      <c r="J637" s="159">
        <v>0</v>
      </c>
      <c r="K637" s="1426">
        <v>0</v>
      </c>
      <c r="L637" s="296">
        <f t="shared" si="144"/>
        <v>3568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3364</v>
      </c>
      <c r="F638" s="158">
        <v>3364</v>
      </c>
      <c r="G638" s="159">
        <v>0</v>
      </c>
      <c r="H638" s="1426">
        <v>0</v>
      </c>
      <c r="I638" s="158">
        <v>1805</v>
      </c>
      <c r="J638" s="159">
        <v>0</v>
      </c>
      <c r="K638" s="1426">
        <v>0</v>
      </c>
      <c r="L638" s="296">
        <f t="shared" si="144"/>
        <v>1805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31548</v>
      </c>
      <c r="F642" s="275">
        <f t="shared" si="145"/>
        <v>31548</v>
      </c>
      <c r="G642" s="276">
        <f t="shared" si="145"/>
        <v>0</v>
      </c>
      <c r="H642" s="277">
        <f>SUM(H643:H659)</f>
        <v>0</v>
      </c>
      <c r="I642" s="275">
        <f t="shared" si="145"/>
        <v>19598</v>
      </c>
      <c r="J642" s="276">
        <f t="shared" si="145"/>
        <v>0</v>
      </c>
      <c r="K642" s="277">
        <f t="shared" si="145"/>
        <v>0</v>
      </c>
      <c r="L642" s="311">
        <f t="shared" si="145"/>
        <v>19598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10467</v>
      </c>
      <c r="F643" s="152">
        <v>10467</v>
      </c>
      <c r="G643" s="153">
        <v>0</v>
      </c>
      <c r="H643" s="1421">
        <v>0</v>
      </c>
      <c r="I643" s="152">
        <v>332</v>
      </c>
      <c r="J643" s="153">
        <v>0</v>
      </c>
      <c r="K643" s="1421">
        <v>0</v>
      </c>
      <c r="L643" s="282">
        <f aca="true" t="shared" si="147" ref="L643:L659">I643+J643+K643</f>
        <v>332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3983</v>
      </c>
      <c r="F646" s="158">
        <v>3983</v>
      </c>
      <c r="G646" s="159">
        <v>0</v>
      </c>
      <c r="H646" s="1426">
        <v>0</v>
      </c>
      <c r="I646" s="158">
        <v>3983</v>
      </c>
      <c r="J646" s="159">
        <v>0</v>
      </c>
      <c r="K646" s="1426">
        <v>0</v>
      </c>
      <c r="L646" s="296">
        <f t="shared" si="147"/>
        <v>3983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13223</v>
      </c>
      <c r="F647" s="158">
        <v>13223</v>
      </c>
      <c r="G647" s="159">
        <v>0</v>
      </c>
      <c r="H647" s="1426">
        <v>0</v>
      </c>
      <c r="I647" s="158">
        <v>11722</v>
      </c>
      <c r="J647" s="159">
        <v>0</v>
      </c>
      <c r="K647" s="1426">
        <v>0</v>
      </c>
      <c r="L647" s="296">
        <f t="shared" si="147"/>
        <v>11722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3865</v>
      </c>
      <c r="F649" s="455">
        <v>3865</v>
      </c>
      <c r="G649" s="456">
        <v>0</v>
      </c>
      <c r="H649" s="1434">
        <v>0</v>
      </c>
      <c r="I649" s="455">
        <v>3551</v>
      </c>
      <c r="J649" s="456">
        <v>0</v>
      </c>
      <c r="K649" s="1434">
        <v>0</v>
      </c>
      <c r="L649" s="321">
        <f t="shared" si="147"/>
        <v>3551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10</v>
      </c>
      <c r="F654" s="455">
        <v>10</v>
      </c>
      <c r="G654" s="456">
        <v>0</v>
      </c>
      <c r="H654" s="1434">
        <v>0</v>
      </c>
      <c r="I654" s="455">
        <v>10</v>
      </c>
      <c r="J654" s="456">
        <v>0</v>
      </c>
      <c r="K654" s="1434">
        <v>0</v>
      </c>
      <c r="L654" s="321">
        <f t="shared" si="147"/>
        <v>10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739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1688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27561</v>
      </c>
      <c r="F694" s="1428">
        <v>27561</v>
      </c>
      <c r="G694" s="1429">
        <v>0</v>
      </c>
      <c r="H694" s="1430">
        <v>0</v>
      </c>
      <c r="I694" s="1428">
        <v>25949</v>
      </c>
      <c r="J694" s="1429">
        <v>0</v>
      </c>
      <c r="K694" s="1430">
        <v>0</v>
      </c>
      <c r="L694" s="311">
        <f t="shared" si="158"/>
        <v>25949</v>
      </c>
      <c r="M694" s="12">
        <f t="shared" si="159"/>
        <v>1</v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1689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1686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1687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702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703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933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711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711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170621</v>
      </c>
      <c r="F740" s="397">
        <f t="shared" si="173"/>
        <v>170621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133894</v>
      </c>
      <c r="J740" s="398">
        <f t="shared" si="173"/>
        <v>0</v>
      </c>
      <c r="K740" s="399">
        <f t="shared" si="173"/>
        <v>0</v>
      </c>
      <c r="L740" s="396">
        <f t="shared" si="173"/>
        <v>133894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43100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Симеоновград</v>
      </c>
      <c r="C751" s="1848"/>
      <c r="D751" s="1849"/>
      <c r="E751" s="411" t="s">
        <v>908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2" t="s">
        <v>2054</v>
      </c>
      <c r="F755" s="1833"/>
      <c r="G755" s="1833"/>
      <c r="H755" s="1834"/>
      <c r="I755" s="1841" t="s">
        <v>2055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5532</v>
      </c>
      <c r="D760" s="1458" t="s">
        <v>581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761</v>
      </c>
      <c r="D762" s="1822"/>
      <c r="E762" s="274">
        <f aca="true" t="shared" si="174" ref="E762:L762">SUM(E763:E764)</f>
        <v>1380</v>
      </c>
      <c r="F762" s="275">
        <f t="shared" si="174"/>
        <v>1380</v>
      </c>
      <c r="G762" s="276">
        <f t="shared" si="174"/>
        <v>0</v>
      </c>
      <c r="H762" s="277">
        <f>SUM(H763:H764)</f>
        <v>0</v>
      </c>
      <c r="I762" s="275">
        <f t="shared" si="174"/>
        <v>1380</v>
      </c>
      <c r="J762" s="276">
        <f t="shared" si="174"/>
        <v>0</v>
      </c>
      <c r="K762" s="277">
        <f t="shared" si="174"/>
        <v>0</v>
      </c>
      <c r="L762" s="274">
        <f t="shared" si="174"/>
        <v>1380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1380</v>
      </c>
      <c r="F763" s="152">
        <v>1380</v>
      </c>
      <c r="G763" s="153">
        <v>0</v>
      </c>
      <c r="H763" s="1421">
        <v>0</v>
      </c>
      <c r="I763" s="152">
        <v>1380</v>
      </c>
      <c r="J763" s="153">
        <v>0</v>
      </c>
      <c r="K763" s="1421">
        <v>0</v>
      </c>
      <c r="L763" s="282">
        <f>I763+J763+K763</f>
        <v>1380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7" t="s">
        <v>764</v>
      </c>
      <c r="D765" s="1818"/>
      <c r="E765" s="274">
        <f aca="true" t="shared" si="176" ref="E765:L765">SUM(E766:E770)</f>
        <v>27207</v>
      </c>
      <c r="F765" s="275">
        <f t="shared" si="176"/>
        <v>27207</v>
      </c>
      <c r="G765" s="276">
        <f t="shared" si="176"/>
        <v>0</v>
      </c>
      <c r="H765" s="277">
        <f>SUM(H766:H770)</f>
        <v>0</v>
      </c>
      <c r="I765" s="275">
        <f t="shared" si="176"/>
        <v>27207</v>
      </c>
      <c r="J765" s="276">
        <f t="shared" si="176"/>
        <v>0</v>
      </c>
      <c r="K765" s="277">
        <f t="shared" si="176"/>
        <v>0</v>
      </c>
      <c r="L765" s="274">
        <f t="shared" si="176"/>
        <v>27207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27207</v>
      </c>
      <c r="F766" s="152">
        <v>27207</v>
      </c>
      <c r="G766" s="153">
        <v>0</v>
      </c>
      <c r="H766" s="1421">
        <v>0</v>
      </c>
      <c r="I766" s="152">
        <v>27207</v>
      </c>
      <c r="J766" s="153">
        <v>0</v>
      </c>
      <c r="K766" s="1421">
        <v>0</v>
      </c>
      <c r="L766" s="282">
        <f>I766+J766+K766</f>
        <v>27207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5118</v>
      </c>
      <c r="F771" s="275">
        <f t="shared" si="177"/>
        <v>5118</v>
      </c>
      <c r="G771" s="276">
        <f t="shared" si="177"/>
        <v>0</v>
      </c>
      <c r="H771" s="277">
        <f>SUM(H772:H778)</f>
        <v>0</v>
      </c>
      <c r="I771" s="275">
        <f t="shared" si="177"/>
        <v>5118</v>
      </c>
      <c r="J771" s="276">
        <f t="shared" si="177"/>
        <v>0</v>
      </c>
      <c r="K771" s="277">
        <f t="shared" si="177"/>
        <v>0</v>
      </c>
      <c r="L771" s="274">
        <f t="shared" si="177"/>
        <v>5118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3016</v>
      </c>
      <c r="F772" s="152">
        <v>3016</v>
      </c>
      <c r="G772" s="153">
        <v>0</v>
      </c>
      <c r="H772" s="1421">
        <v>0</v>
      </c>
      <c r="I772" s="152">
        <v>3016</v>
      </c>
      <c r="J772" s="153">
        <v>0</v>
      </c>
      <c r="K772" s="1421">
        <v>0</v>
      </c>
      <c r="L772" s="282">
        <f aca="true" t="shared" si="179" ref="L772:L779">I772+J772+K772</f>
        <v>3016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1339</v>
      </c>
      <c r="F775" s="158">
        <v>1339</v>
      </c>
      <c r="G775" s="159">
        <v>0</v>
      </c>
      <c r="H775" s="1426">
        <v>0</v>
      </c>
      <c r="I775" s="158">
        <v>1339</v>
      </c>
      <c r="J775" s="159">
        <v>0</v>
      </c>
      <c r="K775" s="1426">
        <v>0</v>
      </c>
      <c r="L775" s="296">
        <f t="shared" si="179"/>
        <v>1339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763</v>
      </c>
      <c r="F776" s="158">
        <v>763</v>
      </c>
      <c r="G776" s="159">
        <v>0</v>
      </c>
      <c r="H776" s="1426">
        <v>0</v>
      </c>
      <c r="I776" s="158">
        <v>763</v>
      </c>
      <c r="J776" s="159">
        <v>0</v>
      </c>
      <c r="K776" s="1426">
        <v>0</v>
      </c>
      <c r="L776" s="296">
        <f t="shared" si="179"/>
        <v>763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739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1688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1689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1686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1687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702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703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933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711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711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33705</v>
      </c>
      <c r="F878" s="397">
        <f t="shared" si="208"/>
        <v>33705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33705</v>
      </c>
      <c r="J878" s="398">
        <f t="shared" si="208"/>
        <v>0</v>
      </c>
      <c r="K878" s="399">
        <f t="shared" si="208"/>
        <v>0</v>
      </c>
      <c r="L878" s="396">
        <f t="shared" si="208"/>
        <v>33705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6" t="str">
        <f>$B$7</f>
        <v>ОТЧЕТНИ ДАННИ ПО ЕБК ЗА СМЕТКИТЕ ЗА СРЕДСТВАТА ОТ ЕВРОПЕЙСКИЯ СЪЮЗ - КСФ</v>
      </c>
      <c r="C884" s="1797"/>
      <c r="D884" s="1797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8">
        <f>$B$9</f>
        <v>0</v>
      </c>
      <c r="C886" s="1789"/>
      <c r="D886" s="1790"/>
      <c r="E886" s="115">
        <f>$E$9</f>
        <v>42736</v>
      </c>
      <c r="F886" s="227">
        <f>$F$9</f>
        <v>43100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Симеоновград</v>
      </c>
      <c r="C889" s="1848"/>
      <c r="D889" s="1849"/>
      <c r="E889" s="411" t="s">
        <v>908</v>
      </c>
      <c r="F889" s="1362" t="str">
        <f>$F$12</f>
        <v>7607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2" t="s">
        <v>2054</v>
      </c>
      <c r="F893" s="1833"/>
      <c r="G893" s="1833"/>
      <c r="H893" s="1834"/>
      <c r="I893" s="1841" t="s">
        <v>2055</v>
      </c>
      <c r="J893" s="1842"/>
      <c r="K893" s="1842"/>
      <c r="L893" s="184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670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598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1" t="s">
        <v>761</v>
      </c>
      <c r="D900" s="1822"/>
      <c r="E900" s="274">
        <f aca="true" t="shared" si="209" ref="E900:L900">SUM(E901:E902)</f>
        <v>12346</v>
      </c>
      <c r="F900" s="275">
        <f t="shared" si="209"/>
        <v>0</v>
      </c>
      <c r="G900" s="276">
        <f t="shared" si="209"/>
        <v>12346</v>
      </c>
      <c r="H900" s="277">
        <f>SUM(H901:H902)</f>
        <v>0</v>
      </c>
      <c r="I900" s="275">
        <f t="shared" si="209"/>
        <v>0</v>
      </c>
      <c r="J900" s="276">
        <f t="shared" si="209"/>
        <v>12346</v>
      </c>
      <c r="K900" s="277">
        <f t="shared" si="209"/>
        <v>0</v>
      </c>
      <c r="L900" s="274">
        <f t="shared" si="209"/>
        <v>12346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3354</v>
      </c>
      <c r="F901" s="152">
        <v>0</v>
      </c>
      <c r="G901" s="153">
        <v>3354</v>
      </c>
      <c r="H901" s="1421">
        <v>0</v>
      </c>
      <c r="I901" s="152">
        <v>0</v>
      </c>
      <c r="J901" s="153">
        <v>3354</v>
      </c>
      <c r="K901" s="1421">
        <v>0</v>
      </c>
      <c r="L901" s="282">
        <f>I901+J901+K901</f>
        <v>3354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8992</v>
      </c>
      <c r="F902" s="173">
        <v>0</v>
      </c>
      <c r="G902" s="174">
        <v>8992</v>
      </c>
      <c r="H902" s="1427">
        <v>0</v>
      </c>
      <c r="I902" s="173">
        <v>0</v>
      </c>
      <c r="J902" s="174">
        <v>8992</v>
      </c>
      <c r="K902" s="1427">
        <v>0</v>
      </c>
      <c r="L902" s="288">
        <f>I902+J902+K902</f>
        <v>8992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817" t="s">
        <v>764</v>
      </c>
      <c r="D903" s="1818"/>
      <c r="E903" s="274">
        <f aca="true" t="shared" si="211" ref="E903:L903">SUM(E904:E908)</f>
        <v>176826</v>
      </c>
      <c r="F903" s="275">
        <f t="shared" si="211"/>
        <v>0</v>
      </c>
      <c r="G903" s="276">
        <f t="shared" si="211"/>
        <v>176826</v>
      </c>
      <c r="H903" s="277">
        <f>SUM(H904:H908)</f>
        <v>0</v>
      </c>
      <c r="I903" s="275">
        <f t="shared" si="211"/>
        <v>0</v>
      </c>
      <c r="J903" s="276">
        <f t="shared" si="211"/>
        <v>176826</v>
      </c>
      <c r="K903" s="277">
        <f t="shared" si="211"/>
        <v>0</v>
      </c>
      <c r="L903" s="274">
        <f t="shared" si="211"/>
        <v>176826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172597</v>
      </c>
      <c r="F904" s="152">
        <v>0</v>
      </c>
      <c r="G904" s="153">
        <v>172597</v>
      </c>
      <c r="H904" s="1421">
        <v>0</v>
      </c>
      <c r="I904" s="152">
        <v>0</v>
      </c>
      <c r="J904" s="153">
        <v>172597</v>
      </c>
      <c r="K904" s="1421">
        <v>0</v>
      </c>
      <c r="L904" s="282">
        <f>I904+J904+K904</f>
        <v>172597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4229</v>
      </c>
      <c r="F905" s="158">
        <v>0</v>
      </c>
      <c r="G905" s="159">
        <v>4229</v>
      </c>
      <c r="H905" s="1426">
        <v>0</v>
      </c>
      <c r="I905" s="158">
        <v>0</v>
      </c>
      <c r="J905" s="159">
        <v>4229</v>
      </c>
      <c r="K905" s="1426">
        <v>0</v>
      </c>
      <c r="L905" s="296">
        <f>I905+J905+K905</f>
        <v>4229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19" t="s">
        <v>199</v>
      </c>
      <c r="D909" s="1820"/>
      <c r="E909" s="274">
        <f aca="true" t="shared" si="212" ref="E909:L909">SUM(E910:E916)</f>
        <v>36153</v>
      </c>
      <c r="F909" s="275">
        <f t="shared" si="212"/>
        <v>0</v>
      </c>
      <c r="G909" s="276">
        <f t="shared" si="212"/>
        <v>36153</v>
      </c>
      <c r="H909" s="277">
        <f>SUM(H910:H916)</f>
        <v>0</v>
      </c>
      <c r="I909" s="275">
        <f t="shared" si="212"/>
        <v>0</v>
      </c>
      <c r="J909" s="276">
        <f t="shared" si="212"/>
        <v>36153</v>
      </c>
      <c r="K909" s="277">
        <f t="shared" si="212"/>
        <v>0</v>
      </c>
      <c r="L909" s="274">
        <f t="shared" si="212"/>
        <v>36153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22549</v>
      </c>
      <c r="F910" s="152">
        <v>0</v>
      </c>
      <c r="G910" s="153">
        <v>22549</v>
      </c>
      <c r="H910" s="1421">
        <v>0</v>
      </c>
      <c r="I910" s="152">
        <v>0</v>
      </c>
      <c r="J910" s="153">
        <v>22549</v>
      </c>
      <c r="K910" s="1421">
        <v>0</v>
      </c>
      <c r="L910" s="282">
        <f aca="true" t="shared" si="214" ref="L910:L917">I910+J910+K910</f>
        <v>22549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9332</v>
      </c>
      <c r="F913" s="158">
        <v>0</v>
      </c>
      <c r="G913" s="159">
        <v>9332</v>
      </c>
      <c r="H913" s="1426">
        <v>0</v>
      </c>
      <c r="I913" s="158">
        <v>0</v>
      </c>
      <c r="J913" s="159">
        <v>9332</v>
      </c>
      <c r="K913" s="1426">
        <v>0</v>
      </c>
      <c r="L913" s="296">
        <f t="shared" si="214"/>
        <v>9332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4272</v>
      </c>
      <c r="F914" s="158">
        <v>0</v>
      </c>
      <c r="G914" s="159">
        <v>4272</v>
      </c>
      <c r="H914" s="1426">
        <v>0</v>
      </c>
      <c r="I914" s="158">
        <v>0</v>
      </c>
      <c r="J914" s="159">
        <v>4272</v>
      </c>
      <c r="K914" s="1426">
        <v>0</v>
      </c>
      <c r="L914" s="296">
        <f t="shared" si="214"/>
        <v>4272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5" t="s">
        <v>204</v>
      </c>
      <c r="D917" s="181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7" t="s">
        <v>205</v>
      </c>
      <c r="D918" s="1818"/>
      <c r="E918" s="311">
        <f aca="true" t="shared" si="215" ref="E918:L918">SUM(E919:E935)</f>
        <v>61134</v>
      </c>
      <c r="F918" s="275">
        <f t="shared" si="215"/>
        <v>0</v>
      </c>
      <c r="G918" s="276">
        <f t="shared" si="215"/>
        <v>61134</v>
      </c>
      <c r="H918" s="277">
        <f>SUM(H919:H935)</f>
        <v>0</v>
      </c>
      <c r="I918" s="275">
        <f t="shared" si="215"/>
        <v>0</v>
      </c>
      <c r="J918" s="276">
        <f t="shared" si="215"/>
        <v>25532</v>
      </c>
      <c r="K918" s="277">
        <f t="shared" si="215"/>
        <v>0</v>
      </c>
      <c r="L918" s="311">
        <f t="shared" si="215"/>
        <v>25532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518</v>
      </c>
      <c r="F921" s="158">
        <v>0</v>
      </c>
      <c r="G921" s="159">
        <v>518</v>
      </c>
      <c r="H921" s="1426">
        <v>0</v>
      </c>
      <c r="I921" s="158">
        <v>0</v>
      </c>
      <c r="J921" s="159">
        <v>518</v>
      </c>
      <c r="K921" s="1426">
        <v>0</v>
      </c>
      <c r="L921" s="296">
        <f t="shared" si="217"/>
        <v>518</v>
      </c>
      <c r="M921" s="12">
        <f t="shared" si="210"/>
        <v>1</v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7253</v>
      </c>
      <c r="F923" s="158">
        <v>0</v>
      </c>
      <c r="G923" s="159">
        <v>7253</v>
      </c>
      <c r="H923" s="1426">
        <v>0</v>
      </c>
      <c r="I923" s="158">
        <v>0</v>
      </c>
      <c r="J923" s="159">
        <v>7253</v>
      </c>
      <c r="K923" s="1426">
        <v>0</v>
      </c>
      <c r="L923" s="296">
        <f t="shared" si="217"/>
        <v>7253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2870</v>
      </c>
      <c r="F925" s="455">
        <v>0</v>
      </c>
      <c r="G925" s="456">
        <v>2870</v>
      </c>
      <c r="H925" s="1434">
        <v>0</v>
      </c>
      <c r="I925" s="455">
        <v>0</v>
      </c>
      <c r="J925" s="456">
        <v>2870</v>
      </c>
      <c r="K925" s="1434">
        <v>0</v>
      </c>
      <c r="L925" s="321">
        <f t="shared" si="217"/>
        <v>2870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14891</v>
      </c>
      <c r="F926" s="450">
        <v>0</v>
      </c>
      <c r="G926" s="451">
        <v>14891</v>
      </c>
      <c r="H926" s="1431">
        <v>0</v>
      </c>
      <c r="I926" s="450">
        <v>0</v>
      </c>
      <c r="J926" s="451">
        <v>14891</v>
      </c>
      <c r="K926" s="1431">
        <v>0</v>
      </c>
      <c r="L926" s="327">
        <f t="shared" si="217"/>
        <v>14891</v>
      </c>
      <c r="M926" s="12">
        <f t="shared" si="210"/>
        <v>1</v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35602</v>
      </c>
      <c r="F935" s="173">
        <v>0</v>
      </c>
      <c r="G935" s="174">
        <v>35602</v>
      </c>
      <c r="H935" s="1427">
        <v>0</v>
      </c>
      <c r="I935" s="173">
        <v>0</v>
      </c>
      <c r="J935" s="174">
        <v>0</v>
      </c>
      <c r="K935" s="1427">
        <v>0</v>
      </c>
      <c r="L935" s="288">
        <f t="shared" si="217"/>
        <v>0</v>
      </c>
      <c r="M935" s="12">
        <f t="shared" si="210"/>
        <v>1</v>
      </c>
      <c r="N935" s="13"/>
    </row>
    <row r="936" spans="1:14" ht="15.75">
      <c r="A936" s="23">
        <v>135</v>
      </c>
      <c r="B936" s="273">
        <v>1900</v>
      </c>
      <c r="C936" s="1811" t="s">
        <v>279</v>
      </c>
      <c r="D936" s="1812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1" t="s">
        <v>739</v>
      </c>
      <c r="D940" s="1812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1" t="s">
        <v>224</v>
      </c>
      <c r="D946" s="1812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1" t="s">
        <v>226</v>
      </c>
      <c r="D949" s="1812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3" t="s">
        <v>227</v>
      </c>
      <c r="D950" s="1814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3" t="s">
        <v>228</v>
      </c>
      <c r="D951" s="1814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3" t="s">
        <v>1688</v>
      </c>
      <c r="D952" s="1814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1" t="s">
        <v>229</v>
      </c>
      <c r="D953" s="1812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1" t="s">
        <v>241</v>
      </c>
      <c r="D969" s="1812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1" t="s">
        <v>242</v>
      </c>
      <c r="D970" s="1812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1" t="s">
        <v>243</v>
      </c>
      <c r="D971" s="1812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1" t="s">
        <v>244</v>
      </c>
      <c r="D972" s="1812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1" t="s">
        <v>1689</v>
      </c>
      <c r="D979" s="1812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1" t="s">
        <v>1686</v>
      </c>
      <c r="D983" s="1812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1" t="s">
        <v>1687</v>
      </c>
      <c r="D984" s="1812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3" t="s">
        <v>254</v>
      </c>
      <c r="D985" s="1814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1" t="s">
        <v>280</v>
      </c>
      <c r="D986" s="1812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09" t="s">
        <v>255</v>
      </c>
      <c r="D989" s="181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09" t="s">
        <v>256</v>
      </c>
      <c r="D990" s="1810"/>
      <c r="E990" s="311">
        <f aca="true" t="shared" si="237" ref="E990:L990">SUM(E991:E997)</f>
        <v>3204</v>
      </c>
      <c r="F990" s="275">
        <f t="shared" si="237"/>
        <v>0</v>
      </c>
      <c r="G990" s="276">
        <f t="shared" si="237"/>
        <v>3204</v>
      </c>
      <c r="H990" s="277">
        <f>SUM(H991:H997)</f>
        <v>0</v>
      </c>
      <c r="I990" s="275">
        <f t="shared" si="237"/>
        <v>0</v>
      </c>
      <c r="J990" s="276">
        <f t="shared" si="237"/>
        <v>3204</v>
      </c>
      <c r="K990" s="277">
        <f t="shared" si="237"/>
        <v>0</v>
      </c>
      <c r="L990" s="311">
        <f t="shared" si="237"/>
        <v>3204</v>
      </c>
      <c r="M990" s="12">
        <f t="shared" si="229"/>
        <v>1</v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1416</v>
      </c>
      <c r="F991" s="152">
        <v>0</v>
      </c>
      <c r="G991" s="153">
        <v>1416</v>
      </c>
      <c r="H991" s="1421">
        <v>0</v>
      </c>
      <c r="I991" s="152">
        <v>0</v>
      </c>
      <c r="J991" s="153">
        <v>1416</v>
      </c>
      <c r="K991" s="1421">
        <v>0</v>
      </c>
      <c r="L991" s="282">
        <f aca="true" t="shared" si="239" ref="L991:L997">I991+J991+K991</f>
        <v>1416</v>
      </c>
      <c r="M991" s="12">
        <f t="shared" si="229"/>
        <v>1</v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1788</v>
      </c>
      <c r="F993" s="158">
        <v>0</v>
      </c>
      <c r="G993" s="159">
        <v>1788</v>
      </c>
      <c r="H993" s="1426">
        <v>0</v>
      </c>
      <c r="I993" s="158">
        <v>0</v>
      </c>
      <c r="J993" s="159">
        <v>1788</v>
      </c>
      <c r="K993" s="1426">
        <v>0</v>
      </c>
      <c r="L993" s="296">
        <f t="shared" si="239"/>
        <v>1788</v>
      </c>
      <c r="M993" s="12">
        <f t="shared" si="229"/>
        <v>1</v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09" t="s">
        <v>642</v>
      </c>
      <c r="D998" s="181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09" t="s">
        <v>702</v>
      </c>
      <c r="D1001" s="181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1" t="s">
        <v>703</v>
      </c>
      <c r="D1002" s="1812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4" t="s">
        <v>933</v>
      </c>
      <c r="D1007" s="1805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6" t="s">
        <v>711</v>
      </c>
      <c r="D1011" s="180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6" t="s">
        <v>711</v>
      </c>
      <c r="D1012" s="180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289663</v>
      </c>
      <c r="F1016" s="397">
        <f t="shared" si="243"/>
        <v>0</v>
      </c>
      <c r="G1016" s="398">
        <f t="shared" si="243"/>
        <v>289663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254061</v>
      </c>
      <c r="K1016" s="399">
        <f t="shared" si="243"/>
        <v>0</v>
      </c>
      <c r="L1016" s="396">
        <f t="shared" si="243"/>
        <v>254061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96" t="str">
        <f>$B$7</f>
        <v>ОТЧЕТНИ ДАННИ ПО ЕБК ЗА СМЕТКИТЕ ЗА СРЕДСТВАТА ОТ ЕВРОПЕЙСКИЯ СЪЮЗ - КСФ</v>
      </c>
      <c r="C1022" s="1797"/>
      <c r="D1022" s="1797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8">
        <f>$B$9</f>
        <v>0</v>
      </c>
      <c r="C1024" s="1789"/>
      <c r="D1024" s="1790"/>
      <c r="E1024" s="115">
        <f>$E$9</f>
        <v>42736</v>
      </c>
      <c r="F1024" s="227">
        <f>$F$9</f>
        <v>43100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47" t="str">
        <f>$B$12</f>
        <v>Симеоновград</v>
      </c>
      <c r="C1027" s="1848"/>
      <c r="D1027" s="1849"/>
      <c r="E1027" s="411" t="s">
        <v>908</v>
      </c>
      <c r="F1027" s="1362" t="str">
        <f>$F$12</f>
        <v>7607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832" t="s">
        <v>2054</v>
      </c>
      <c r="F1031" s="1833"/>
      <c r="G1031" s="1833"/>
      <c r="H1031" s="1834"/>
      <c r="I1031" s="1841" t="s">
        <v>2055</v>
      </c>
      <c r="J1031" s="1842"/>
      <c r="K1031" s="1842"/>
      <c r="L1031" s="184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>
        <f>VLOOKUP(D1034,OP_LIST2,2,FALSE)</f>
        <v>98315</v>
      </c>
      <c r="D1034" s="1458" t="s">
        <v>1264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5524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5524</v>
      </c>
      <c r="D1036" s="1458" t="s">
        <v>573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821" t="s">
        <v>761</v>
      </c>
      <c r="D1038" s="1822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817" t="s">
        <v>764</v>
      </c>
      <c r="D1041" s="1818"/>
      <c r="E1041" s="274">
        <f aca="true" t="shared" si="246" ref="E1041:L1041">SUM(E1042:E1046)</f>
        <v>33326</v>
      </c>
      <c r="F1041" s="275">
        <f t="shared" si="246"/>
        <v>0</v>
      </c>
      <c r="G1041" s="276">
        <f t="shared" si="246"/>
        <v>33326</v>
      </c>
      <c r="H1041" s="277">
        <f>SUM(H1042:H1046)</f>
        <v>0</v>
      </c>
      <c r="I1041" s="275">
        <f t="shared" si="246"/>
        <v>0</v>
      </c>
      <c r="J1041" s="276">
        <f t="shared" si="246"/>
        <v>33326</v>
      </c>
      <c r="K1041" s="277">
        <f t="shared" si="246"/>
        <v>0</v>
      </c>
      <c r="L1041" s="274">
        <f t="shared" si="246"/>
        <v>33326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33326</v>
      </c>
      <c r="F1043" s="158">
        <v>0</v>
      </c>
      <c r="G1043" s="159">
        <v>33326</v>
      </c>
      <c r="H1043" s="1426">
        <v>0</v>
      </c>
      <c r="I1043" s="158">
        <v>0</v>
      </c>
      <c r="J1043" s="159">
        <v>33326</v>
      </c>
      <c r="K1043" s="1426">
        <v>0</v>
      </c>
      <c r="L1043" s="296">
        <f>I1043+J1043+K1043</f>
        <v>33326</v>
      </c>
      <c r="M1043" s="12">
        <f t="shared" si="245"/>
        <v>1</v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819" t="s">
        <v>199</v>
      </c>
      <c r="D1047" s="1820"/>
      <c r="E1047" s="274">
        <f aca="true" t="shared" si="247" ref="E1047:L1047">SUM(E1048:E1054)</f>
        <v>947</v>
      </c>
      <c r="F1047" s="275">
        <f t="shared" si="247"/>
        <v>0</v>
      </c>
      <c r="G1047" s="276">
        <f t="shared" si="247"/>
        <v>947</v>
      </c>
      <c r="H1047" s="277">
        <f>SUM(H1048:H1054)</f>
        <v>0</v>
      </c>
      <c r="I1047" s="275">
        <f t="shared" si="247"/>
        <v>0</v>
      </c>
      <c r="J1047" s="276">
        <f t="shared" si="247"/>
        <v>947</v>
      </c>
      <c r="K1047" s="277">
        <f t="shared" si="247"/>
        <v>0</v>
      </c>
      <c r="L1047" s="274">
        <f t="shared" si="247"/>
        <v>947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508</v>
      </c>
      <c r="F1048" s="152">
        <v>0</v>
      </c>
      <c r="G1048" s="153">
        <v>508</v>
      </c>
      <c r="H1048" s="1421">
        <v>0</v>
      </c>
      <c r="I1048" s="152">
        <v>0</v>
      </c>
      <c r="J1048" s="153">
        <v>508</v>
      </c>
      <c r="K1048" s="1421">
        <v>0</v>
      </c>
      <c r="L1048" s="282">
        <f aca="true" t="shared" si="249" ref="L1048:L1055">I1048+J1048+K1048</f>
        <v>508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191</v>
      </c>
      <c r="F1051" s="158">
        <v>0</v>
      </c>
      <c r="G1051" s="159">
        <v>191</v>
      </c>
      <c r="H1051" s="1426">
        <v>0</v>
      </c>
      <c r="I1051" s="158">
        <v>0</v>
      </c>
      <c r="J1051" s="159">
        <v>191</v>
      </c>
      <c r="K1051" s="1426">
        <v>0</v>
      </c>
      <c r="L1051" s="296">
        <f t="shared" si="249"/>
        <v>191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248</v>
      </c>
      <c r="F1052" s="158">
        <v>0</v>
      </c>
      <c r="G1052" s="159">
        <v>248</v>
      </c>
      <c r="H1052" s="1426">
        <v>0</v>
      </c>
      <c r="I1052" s="158">
        <v>0</v>
      </c>
      <c r="J1052" s="159">
        <v>248</v>
      </c>
      <c r="K1052" s="1426">
        <v>0</v>
      </c>
      <c r="L1052" s="296">
        <f t="shared" si="249"/>
        <v>248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815" t="s">
        <v>204</v>
      </c>
      <c r="D1055" s="181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817" t="s">
        <v>205</v>
      </c>
      <c r="D1056" s="1818"/>
      <c r="E1056" s="311">
        <f aca="true" t="shared" si="250" ref="E1056:L1056">SUM(E1057:E1073)</f>
        <v>1157018</v>
      </c>
      <c r="F1056" s="275">
        <f t="shared" si="250"/>
        <v>0</v>
      </c>
      <c r="G1056" s="276">
        <f t="shared" si="250"/>
        <v>1157018</v>
      </c>
      <c r="H1056" s="277">
        <f>SUM(H1057:H1073)</f>
        <v>0</v>
      </c>
      <c r="I1056" s="275">
        <f t="shared" si="250"/>
        <v>0</v>
      </c>
      <c r="J1056" s="276">
        <f t="shared" si="250"/>
        <v>668522</v>
      </c>
      <c r="K1056" s="277">
        <f t="shared" si="250"/>
        <v>0</v>
      </c>
      <c r="L1056" s="311">
        <f t="shared" si="250"/>
        <v>668522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1127401</v>
      </c>
      <c r="F1057" s="152">
        <v>0</v>
      </c>
      <c r="G1057" s="153">
        <v>1127401</v>
      </c>
      <c r="H1057" s="1421">
        <v>0</v>
      </c>
      <c r="I1057" s="152">
        <v>0</v>
      </c>
      <c r="J1057" s="153">
        <v>638905</v>
      </c>
      <c r="K1057" s="1421">
        <v>0</v>
      </c>
      <c r="L1057" s="282">
        <f aca="true" t="shared" si="252" ref="L1057:L1073">I1057+J1057+K1057</f>
        <v>638905</v>
      </c>
      <c r="M1057" s="12">
        <f t="shared" si="245"/>
        <v>1</v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6269</v>
      </c>
      <c r="F1061" s="158">
        <v>0</v>
      </c>
      <c r="G1061" s="159">
        <v>6269</v>
      </c>
      <c r="H1061" s="1426">
        <v>0</v>
      </c>
      <c r="I1061" s="158">
        <v>0</v>
      </c>
      <c r="J1061" s="159">
        <v>6269</v>
      </c>
      <c r="K1061" s="1426">
        <v>0</v>
      </c>
      <c r="L1061" s="296">
        <f t="shared" si="252"/>
        <v>6269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23348</v>
      </c>
      <c r="F1063" s="455">
        <v>0</v>
      </c>
      <c r="G1063" s="456">
        <v>23348</v>
      </c>
      <c r="H1063" s="1434">
        <v>0</v>
      </c>
      <c r="I1063" s="455">
        <v>0</v>
      </c>
      <c r="J1063" s="456">
        <v>23348</v>
      </c>
      <c r="K1063" s="1434">
        <v>0</v>
      </c>
      <c r="L1063" s="321">
        <f t="shared" si="252"/>
        <v>23348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811" t="s">
        <v>279</v>
      </c>
      <c r="D1074" s="1812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811" t="s">
        <v>739</v>
      </c>
      <c r="D1078" s="1812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811" t="s">
        <v>224</v>
      </c>
      <c r="D1084" s="1812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811" t="s">
        <v>226</v>
      </c>
      <c r="D1087" s="1812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813" t="s">
        <v>227</v>
      </c>
      <c r="D1088" s="1814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813" t="s">
        <v>228</v>
      </c>
      <c r="D1089" s="1814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813" t="s">
        <v>1688</v>
      </c>
      <c r="D1090" s="1814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811" t="s">
        <v>229</v>
      </c>
      <c r="D1091" s="1812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811" t="s">
        <v>241</v>
      </c>
      <c r="D1107" s="1812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811" t="s">
        <v>242</v>
      </c>
      <c r="D1108" s="1812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811" t="s">
        <v>243</v>
      </c>
      <c r="D1109" s="1812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811" t="s">
        <v>244</v>
      </c>
      <c r="D1110" s="1812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811" t="s">
        <v>1689</v>
      </c>
      <c r="D1117" s="1812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811" t="s">
        <v>1686</v>
      </c>
      <c r="D1121" s="1812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811" t="s">
        <v>1687</v>
      </c>
      <c r="D1122" s="1812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813" t="s">
        <v>254</v>
      </c>
      <c r="D1123" s="1814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811" t="s">
        <v>280</v>
      </c>
      <c r="D1124" s="1812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809" t="s">
        <v>255</v>
      </c>
      <c r="D1127" s="1810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809" t="s">
        <v>256</v>
      </c>
      <c r="D1128" s="1810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809" t="s">
        <v>642</v>
      </c>
      <c r="D1136" s="1810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809" t="s">
        <v>702</v>
      </c>
      <c r="D1139" s="1810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811" t="s">
        <v>703</v>
      </c>
      <c r="D1140" s="1812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804" t="s">
        <v>933</v>
      </c>
      <c r="D1145" s="1805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806" t="s">
        <v>711</v>
      </c>
      <c r="D1149" s="1807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806" t="s">
        <v>711</v>
      </c>
      <c r="D1150" s="1807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1191291</v>
      </c>
      <c r="F1154" s="397">
        <f t="shared" si="278"/>
        <v>0</v>
      </c>
      <c r="G1154" s="398">
        <f t="shared" si="278"/>
        <v>1191291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702795</v>
      </c>
      <c r="K1154" s="399">
        <f t="shared" si="278"/>
        <v>0</v>
      </c>
      <c r="L1154" s="396">
        <f t="shared" si="278"/>
        <v>702795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  <mergeCell ref="C1110:D1110"/>
    <mergeCell ref="C1117:D1117"/>
    <mergeCell ref="C1121:D1121"/>
    <mergeCell ref="C1122:D1122"/>
    <mergeCell ref="C1123:D1123"/>
    <mergeCell ref="C1124:D1124"/>
    <mergeCell ref="C1089:D1089"/>
    <mergeCell ref="C1090:D1090"/>
    <mergeCell ref="C1091:D1091"/>
    <mergeCell ref="C1107:D1107"/>
    <mergeCell ref="C1108:D1108"/>
    <mergeCell ref="C1109:D1109"/>
    <mergeCell ref="C1056:D1056"/>
    <mergeCell ref="C1074:D1074"/>
    <mergeCell ref="C1078:D1078"/>
    <mergeCell ref="C1084:D1084"/>
    <mergeCell ref="C1087:D1087"/>
    <mergeCell ref="C1088:D1088"/>
    <mergeCell ref="E1031:H1031"/>
    <mergeCell ref="I1031:L1031"/>
    <mergeCell ref="C1038:D1038"/>
    <mergeCell ref="C1041:D1041"/>
    <mergeCell ref="C1047:D1047"/>
    <mergeCell ref="C1055:D1055"/>
    <mergeCell ref="C1007:D1007"/>
    <mergeCell ref="C1011:D1011"/>
    <mergeCell ref="C1012:D1012"/>
    <mergeCell ref="B1022:D1022"/>
    <mergeCell ref="B1024:D1024"/>
    <mergeCell ref="B1027:D1027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55" dxfId="190" operator="notEqual" stopIfTrue="1">
      <formula>0</formula>
    </cfRule>
  </conditionalFormatting>
  <conditionalFormatting sqref="D594">
    <cfRule type="cellIs" priority="154" dxfId="190" operator="notEqual" stopIfTrue="1">
      <formula>0</formula>
    </cfRule>
  </conditionalFormatting>
  <conditionalFormatting sqref="E15">
    <cfRule type="cellIs" priority="148" dxfId="196" operator="equal" stopIfTrue="1">
      <formula>98</formula>
    </cfRule>
    <cfRule type="cellIs" priority="150" dxfId="197" operator="equal" stopIfTrue="1">
      <formula>96</formula>
    </cfRule>
    <cfRule type="cellIs" priority="151" dxfId="198" operator="equal" stopIfTrue="1">
      <formula>42</formula>
    </cfRule>
    <cfRule type="cellIs" priority="152" dxfId="199" operator="equal" stopIfTrue="1">
      <formula>97</formula>
    </cfRule>
    <cfRule type="cellIs" priority="153" dxfId="200" operator="equal" stopIfTrue="1">
      <formula>33</formula>
    </cfRule>
  </conditionalFormatting>
  <conditionalFormatting sqref="F15">
    <cfRule type="cellIs" priority="144" dxfId="200" operator="equal" stopIfTrue="1">
      <formula>"ЧУЖДИ СРЕДСТВА"</formula>
    </cfRule>
    <cfRule type="cellIs" priority="145" dxfId="199" operator="equal" stopIfTrue="1">
      <formula>"СЕС - ДМП"</formula>
    </cfRule>
    <cfRule type="cellIs" priority="146" dxfId="198" operator="equal" stopIfTrue="1">
      <formula>"СЕС - РА"</formula>
    </cfRule>
    <cfRule type="cellIs" priority="147" dxfId="197" operator="equal" stopIfTrue="1">
      <formula>"СЕС - ДЕС"</formula>
    </cfRule>
    <cfRule type="cellIs" priority="149" dxfId="196" operator="equal" stopIfTrue="1">
      <formula>"СЕС - КСФ"</formula>
    </cfRule>
  </conditionalFormatting>
  <conditionalFormatting sqref="F178">
    <cfRule type="cellIs" priority="132" dxfId="206" operator="equal" stopIfTrue="1">
      <formula>0</formula>
    </cfRule>
  </conditionalFormatting>
  <conditionalFormatting sqref="E180">
    <cfRule type="cellIs" priority="127" dxfId="196" operator="equal" stopIfTrue="1">
      <formula>98</formula>
    </cfRule>
    <cfRule type="cellIs" priority="128" dxfId="197" operator="equal" stopIfTrue="1">
      <formula>96</formula>
    </cfRule>
    <cfRule type="cellIs" priority="129" dxfId="198" operator="equal" stopIfTrue="1">
      <formula>42</formula>
    </cfRule>
    <cfRule type="cellIs" priority="130" dxfId="199" operator="equal" stopIfTrue="1">
      <formula>97</formula>
    </cfRule>
    <cfRule type="cellIs" priority="131" dxfId="200" operator="equal" stopIfTrue="1">
      <formula>33</formula>
    </cfRule>
  </conditionalFormatting>
  <conditionalFormatting sqref="F180">
    <cfRule type="cellIs" priority="122" dxfId="200" operator="equal" stopIfTrue="1">
      <formula>"ЧУЖДИ СРЕДСТВА"</formula>
    </cfRule>
    <cfRule type="cellIs" priority="123" dxfId="199" operator="equal" stopIfTrue="1">
      <formula>"СЕС - ДМП"</formula>
    </cfRule>
    <cfRule type="cellIs" priority="124" dxfId="198" operator="equal" stopIfTrue="1">
      <formula>"СЕС - РА"</formula>
    </cfRule>
    <cfRule type="cellIs" priority="125" dxfId="197" operator="equal" stopIfTrue="1">
      <formula>"СЕС - ДЕС"</formula>
    </cfRule>
    <cfRule type="cellIs" priority="126" dxfId="196" operator="equal" stopIfTrue="1">
      <formula>"СЕС - КСФ"</formula>
    </cfRule>
  </conditionalFormatting>
  <conditionalFormatting sqref="F349">
    <cfRule type="cellIs" priority="121" dxfId="206" operator="equal" stopIfTrue="1">
      <formula>0</formula>
    </cfRule>
  </conditionalFormatting>
  <conditionalFormatting sqref="E351">
    <cfRule type="cellIs" priority="116" dxfId="196" operator="equal" stopIfTrue="1">
      <formula>98</formula>
    </cfRule>
    <cfRule type="cellIs" priority="117" dxfId="197" operator="equal" stopIfTrue="1">
      <formula>96</formula>
    </cfRule>
    <cfRule type="cellIs" priority="118" dxfId="198" operator="equal" stopIfTrue="1">
      <formula>42</formula>
    </cfRule>
    <cfRule type="cellIs" priority="119" dxfId="199" operator="equal" stopIfTrue="1">
      <formula>97</formula>
    </cfRule>
    <cfRule type="cellIs" priority="120" dxfId="200" operator="equal" stopIfTrue="1">
      <formula>33</formula>
    </cfRule>
  </conditionalFormatting>
  <conditionalFormatting sqref="F351">
    <cfRule type="cellIs" priority="111" dxfId="200" operator="equal" stopIfTrue="1">
      <formula>"ЧУЖДИ СРЕДСТВА"</formula>
    </cfRule>
    <cfRule type="cellIs" priority="112" dxfId="199" operator="equal" stopIfTrue="1">
      <formula>"СЕС - ДМП"</formula>
    </cfRule>
    <cfRule type="cellIs" priority="113" dxfId="198" operator="equal" stopIfTrue="1">
      <formula>"СЕС - РА"</formula>
    </cfRule>
    <cfRule type="cellIs" priority="114" dxfId="197" operator="equal" stopIfTrue="1">
      <formula>"СЕС - ДЕС"</formula>
    </cfRule>
    <cfRule type="cellIs" priority="115" dxfId="196" operator="equal" stopIfTrue="1">
      <formula>"СЕС - КСФ"</formula>
    </cfRule>
  </conditionalFormatting>
  <conditionalFormatting sqref="F434">
    <cfRule type="cellIs" priority="110" dxfId="206" operator="equal" stopIfTrue="1">
      <formula>0</formula>
    </cfRule>
  </conditionalFormatting>
  <conditionalFormatting sqref="E436">
    <cfRule type="cellIs" priority="105" dxfId="196" operator="equal" stopIfTrue="1">
      <formula>98</formula>
    </cfRule>
    <cfRule type="cellIs" priority="106" dxfId="197" operator="equal" stopIfTrue="1">
      <formula>96</formula>
    </cfRule>
    <cfRule type="cellIs" priority="107" dxfId="198" operator="equal" stopIfTrue="1">
      <formula>42</formula>
    </cfRule>
    <cfRule type="cellIs" priority="108" dxfId="199" operator="equal" stopIfTrue="1">
      <formula>97</formula>
    </cfRule>
    <cfRule type="cellIs" priority="109" dxfId="200" operator="equal" stopIfTrue="1">
      <formula>33</formula>
    </cfRule>
  </conditionalFormatting>
  <conditionalFormatting sqref="F436">
    <cfRule type="cellIs" priority="100" dxfId="200" operator="equal" stopIfTrue="1">
      <formula>"ЧУЖДИ СРЕДСТВА"</formula>
    </cfRule>
    <cfRule type="cellIs" priority="101" dxfId="199" operator="equal" stopIfTrue="1">
      <formula>"СЕС - ДМП"</formula>
    </cfRule>
    <cfRule type="cellIs" priority="102" dxfId="198" operator="equal" stopIfTrue="1">
      <formula>"СЕС - РА"</formula>
    </cfRule>
    <cfRule type="cellIs" priority="103" dxfId="197" operator="equal" stopIfTrue="1">
      <formula>"СЕС - ДЕС"</formula>
    </cfRule>
    <cfRule type="cellIs" priority="104" dxfId="196" operator="equal" stopIfTrue="1">
      <formula>"СЕС - КСФ"</formula>
    </cfRule>
  </conditionalFormatting>
  <conditionalFormatting sqref="E443">
    <cfRule type="cellIs" priority="99" dxfId="207" operator="notEqual" stopIfTrue="1">
      <formula>0</formula>
    </cfRule>
  </conditionalFormatting>
  <conditionalFormatting sqref="F443">
    <cfRule type="cellIs" priority="98" dxfId="207" operator="notEqual" stopIfTrue="1">
      <formula>0</formula>
    </cfRule>
  </conditionalFormatting>
  <conditionalFormatting sqref="G443">
    <cfRule type="cellIs" priority="97" dxfId="207" operator="notEqual" stopIfTrue="1">
      <formula>0</formula>
    </cfRule>
  </conditionalFormatting>
  <conditionalFormatting sqref="H443">
    <cfRule type="cellIs" priority="96" dxfId="207" operator="notEqual" stopIfTrue="1">
      <formula>0</formula>
    </cfRule>
  </conditionalFormatting>
  <conditionalFormatting sqref="I443">
    <cfRule type="cellIs" priority="95" dxfId="207" operator="notEqual" stopIfTrue="1">
      <formula>0</formula>
    </cfRule>
  </conditionalFormatting>
  <conditionalFormatting sqref="J443">
    <cfRule type="cellIs" priority="94" dxfId="207" operator="notEqual" stopIfTrue="1">
      <formula>0</formula>
    </cfRule>
  </conditionalFormatting>
  <conditionalFormatting sqref="K443">
    <cfRule type="cellIs" priority="93" dxfId="207" operator="notEqual" stopIfTrue="1">
      <formula>0</formula>
    </cfRule>
  </conditionalFormatting>
  <conditionalFormatting sqref="L443">
    <cfRule type="cellIs" priority="92" dxfId="207" operator="notEqual" stopIfTrue="1">
      <formula>0</formula>
    </cfRule>
  </conditionalFormatting>
  <conditionalFormatting sqref="E594">
    <cfRule type="cellIs" priority="91" dxfId="207" operator="notEqual" stopIfTrue="1">
      <formula>0</formula>
    </cfRule>
  </conditionalFormatting>
  <conditionalFormatting sqref="F594:G594">
    <cfRule type="cellIs" priority="90" dxfId="207" operator="notEqual" stopIfTrue="1">
      <formula>0</formula>
    </cfRule>
  </conditionalFormatting>
  <conditionalFormatting sqref="H594">
    <cfRule type="cellIs" priority="89" dxfId="207" operator="notEqual" stopIfTrue="1">
      <formula>0</formula>
    </cfRule>
  </conditionalFormatting>
  <conditionalFormatting sqref="I594">
    <cfRule type="cellIs" priority="88" dxfId="207" operator="notEqual" stopIfTrue="1">
      <formula>0</formula>
    </cfRule>
  </conditionalFormatting>
  <conditionalFormatting sqref="J594:K594">
    <cfRule type="cellIs" priority="87" dxfId="207" operator="notEqual" stopIfTrue="1">
      <formula>0</formula>
    </cfRule>
  </conditionalFormatting>
  <conditionalFormatting sqref="L594">
    <cfRule type="cellIs" priority="86" dxfId="207" operator="notEqual" stopIfTrue="1">
      <formula>0</formula>
    </cfRule>
  </conditionalFormatting>
  <conditionalFormatting sqref="F450">
    <cfRule type="cellIs" priority="84" dxfId="206" operator="equal" stopIfTrue="1">
      <formula>0</formula>
    </cfRule>
  </conditionalFormatting>
  <conditionalFormatting sqref="E452">
    <cfRule type="cellIs" priority="79" dxfId="196" operator="equal" stopIfTrue="1">
      <formula>98</formula>
    </cfRule>
    <cfRule type="cellIs" priority="80" dxfId="197" operator="equal" stopIfTrue="1">
      <formula>96</formula>
    </cfRule>
    <cfRule type="cellIs" priority="81" dxfId="198" operator="equal" stopIfTrue="1">
      <formula>42</formula>
    </cfRule>
    <cfRule type="cellIs" priority="82" dxfId="199" operator="equal" stopIfTrue="1">
      <formula>97</formula>
    </cfRule>
    <cfRule type="cellIs" priority="83" dxfId="200" operator="equal" stopIfTrue="1">
      <formula>33</formula>
    </cfRule>
  </conditionalFormatting>
  <conditionalFormatting sqref="F452">
    <cfRule type="cellIs" priority="74" dxfId="200" operator="equal" stopIfTrue="1">
      <formula>"ЧУЖДИ СРЕДСТВА"</formula>
    </cfRule>
    <cfRule type="cellIs" priority="75" dxfId="199" operator="equal" stopIfTrue="1">
      <formula>"СЕС - ДМП"</formula>
    </cfRule>
    <cfRule type="cellIs" priority="76" dxfId="198" operator="equal" stopIfTrue="1">
      <formula>"СЕС - РА"</formula>
    </cfRule>
    <cfRule type="cellIs" priority="77" dxfId="197" operator="equal" stopIfTrue="1">
      <formula>"СЕС - ДЕС"</formula>
    </cfRule>
    <cfRule type="cellIs" priority="78" dxfId="196" operator="equal" stopIfTrue="1">
      <formula>"СЕС - КСФ"</formula>
    </cfRule>
  </conditionalFormatting>
  <conditionalFormatting sqref="I9:J9">
    <cfRule type="cellIs" priority="69" dxfId="201" operator="between" stopIfTrue="1">
      <formula>1000000000000</formula>
      <formula>9999999999999990</formula>
    </cfRule>
    <cfRule type="cellIs" priority="70" dxfId="202" operator="between" stopIfTrue="1">
      <formula>10000000000</formula>
      <formula>999999999999</formula>
    </cfRule>
    <cfRule type="cellIs" priority="71" dxfId="203" operator="between" stopIfTrue="1">
      <formula>1000000</formula>
      <formula>99999999</formula>
    </cfRule>
    <cfRule type="cellIs" priority="72" dxfId="208" operator="between" stopIfTrue="1">
      <formula>100</formula>
      <formula>9900</formula>
    </cfRule>
  </conditionalFormatting>
  <conditionalFormatting sqref="G169">
    <cfRule type="cellIs" priority="66" dxfId="76" operator="greaterThan" stopIfTrue="1">
      <formula>$G$25</formula>
    </cfRule>
  </conditionalFormatting>
  <conditionalFormatting sqref="J169">
    <cfRule type="cellIs" priority="65" dxfId="76" operator="greaterThan" stopIfTrue="1">
      <formula>$J$25</formula>
    </cfRule>
  </conditionalFormatting>
  <conditionalFormatting sqref="F613">
    <cfRule type="cellIs" priority="64" dxfId="206" operator="equal" stopIfTrue="1">
      <formula>0</formula>
    </cfRule>
  </conditionalFormatting>
  <conditionalFormatting sqref="E615">
    <cfRule type="cellIs" priority="59" dxfId="196" operator="equal" stopIfTrue="1">
      <formula>98</formula>
    </cfRule>
    <cfRule type="cellIs" priority="60" dxfId="197" operator="equal" stopIfTrue="1">
      <formula>96</formula>
    </cfRule>
    <cfRule type="cellIs" priority="61" dxfId="198" operator="equal" stopIfTrue="1">
      <formula>42</formula>
    </cfRule>
    <cfRule type="cellIs" priority="62" dxfId="199" operator="equal" stopIfTrue="1">
      <formula>97</formula>
    </cfRule>
    <cfRule type="cellIs" priority="63" dxfId="200" operator="equal" stopIfTrue="1">
      <formula>33</formula>
    </cfRule>
  </conditionalFormatting>
  <conditionalFormatting sqref="F615">
    <cfRule type="cellIs" priority="54" dxfId="200" operator="equal" stopIfTrue="1">
      <formula>"ЧУЖДИ СРЕДСТВА"</formula>
    </cfRule>
    <cfRule type="cellIs" priority="55" dxfId="199" operator="equal" stopIfTrue="1">
      <formula>"СЕС - ДМП"</formula>
    </cfRule>
    <cfRule type="cellIs" priority="56" dxfId="198" operator="equal" stopIfTrue="1">
      <formula>"СЕС - РА"</formula>
    </cfRule>
    <cfRule type="cellIs" priority="57" dxfId="197" operator="equal" stopIfTrue="1">
      <formula>"СЕС - ДЕС"</formula>
    </cfRule>
    <cfRule type="cellIs" priority="58" dxfId="196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209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206" operator="equal" stopIfTrue="1">
      <formula>0</formula>
    </cfRule>
  </conditionalFormatting>
  <conditionalFormatting sqref="E753">
    <cfRule type="cellIs" priority="43" dxfId="196" operator="equal" stopIfTrue="1">
      <formula>98</formula>
    </cfRule>
    <cfRule type="cellIs" priority="44" dxfId="197" operator="equal" stopIfTrue="1">
      <formula>96</formula>
    </cfRule>
    <cfRule type="cellIs" priority="45" dxfId="198" operator="equal" stopIfTrue="1">
      <formula>42</formula>
    </cfRule>
    <cfRule type="cellIs" priority="46" dxfId="199" operator="equal" stopIfTrue="1">
      <formula>97</formula>
    </cfRule>
    <cfRule type="cellIs" priority="47" dxfId="200" operator="equal" stopIfTrue="1">
      <formula>33</formula>
    </cfRule>
  </conditionalFormatting>
  <conditionalFormatting sqref="F753">
    <cfRule type="cellIs" priority="38" dxfId="200" operator="equal" stopIfTrue="1">
      <formula>"ЧУЖДИ СРЕДСТВА"</formula>
    </cfRule>
    <cfRule type="cellIs" priority="39" dxfId="199" operator="equal" stopIfTrue="1">
      <formula>"СЕС - ДМП"</formula>
    </cfRule>
    <cfRule type="cellIs" priority="40" dxfId="198" operator="equal" stopIfTrue="1">
      <formula>"СЕС - РА"</formula>
    </cfRule>
    <cfRule type="cellIs" priority="41" dxfId="197" operator="equal" stopIfTrue="1">
      <formula>"СЕС - ДЕС"</formula>
    </cfRule>
    <cfRule type="cellIs" priority="42" dxfId="196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209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206" operator="equal" stopIfTrue="1">
      <formula>0</formula>
    </cfRule>
  </conditionalFormatting>
  <conditionalFormatting sqref="E891">
    <cfRule type="cellIs" priority="27" dxfId="196" operator="equal" stopIfTrue="1">
      <formula>98</formula>
    </cfRule>
    <cfRule type="cellIs" priority="28" dxfId="197" operator="equal" stopIfTrue="1">
      <formula>96</formula>
    </cfRule>
    <cfRule type="cellIs" priority="29" dxfId="198" operator="equal" stopIfTrue="1">
      <formula>42</formula>
    </cfRule>
    <cfRule type="cellIs" priority="30" dxfId="199" operator="equal" stopIfTrue="1">
      <formula>97</formula>
    </cfRule>
    <cfRule type="cellIs" priority="31" dxfId="200" operator="equal" stopIfTrue="1">
      <formula>33</formula>
    </cfRule>
  </conditionalFormatting>
  <conditionalFormatting sqref="F891">
    <cfRule type="cellIs" priority="22" dxfId="200" operator="equal" stopIfTrue="1">
      <formula>"ЧУЖДИ СРЕДСТВА"</formula>
    </cfRule>
    <cfRule type="cellIs" priority="23" dxfId="199" operator="equal" stopIfTrue="1">
      <formula>"СЕС - ДМП"</formula>
    </cfRule>
    <cfRule type="cellIs" priority="24" dxfId="198" operator="equal" stopIfTrue="1">
      <formula>"СЕС - РА"</formula>
    </cfRule>
    <cfRule type="cellIs" priority="25" dxfId="197" operator="equal" stopIfTrue="1">
      <formula>"СЕС - ДЕС"</formula>
    </cfRule>
    <cfRule type="cellIs" priority="26" dxfId="196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209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206" operator="equal" stopIfTrue="1">
      <formula>0</formula>
    </cfRule>
  </conditionalFormatting>
  <conditionalFormatting sqref="E1029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029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209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2" t="s">
        <v>2054</v>
      </c>
      <c r="M23" s="1833"/>
      <c r="N23" s="1833"/>
      <c r="O23" s="1834"/>
      <c r="P23" s="1841" t="s">
        <v>2055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761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764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739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1688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1689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1686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1687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702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703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933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711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711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206" operator="equal" stopIfTrue="1">
      <formula>0</formula>
    </cfRule>
  </conditionalFormatting>
  <conditionalFormatting sqref="L21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M21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20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2018-01-23T11:41:47Z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